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ttina\Desktop\"/>
    </mc:Choice>
  </mc:AlternateContent>
  <xr:revisionPtr revIDLastSave="0" documentId="13_ncr:1_{6EDB938C-0746-4BBE-8902-EF3D074D4D88}" xr6:coauthVersionLast="47" xr6:coauthVersionMax="47" xr10:uidLastSave="{00000000-0000-0000-0000-000000000000}"/>
  <bookViews>
    <workbookView xWindow="-120" yWindow="-120" windowWidth="29040" windowHeight="15840" tabRatio="863" xr2:uid="{00000000-000D-0000-FFFF-FFFF00000000}"/>
  </bookViews>
  <sheets>
    <sheet name="Mérleg szintű össz" sheetId="12" r:id="rId1"/>
    <sheet name="Mérleg szintű ÖK" sheetId="15" r:id="rId2"/>
    <sheet name="Normatíva elszámolás levezetése" sheetId="33" r:id="rId3"/>
    <sheet name="Normatíva2022" sheetId="4" r:id="rId4"/>
    <sheet name="Közhatalmi bevétel" sheetId="14" r:id="rId5"/>
    <sheet name="Saját bevételek" sheetId="13" r:id="rId6"/>
    <sheet name="Záró pénzkészlet" sheetId="25" r:id="rId7"/>
    <sheet name="Kiadások összesen" sheetId="32" r:id="rId8"/>
    <sheet name="Általános kiadások" sheetId="19" r:id="rId9"/>
    <sheet name="Település üzemeltetés" sheetId="20" r:id="rId10"/>
    <sheet name="Étkeztetési feladatok" sheetId="21" r:id="rId11"/>
    <sheet name="Egészségügyi feladatok" sheetId="22" r:id="rId12"/>
    <sheet name="Kulturális szolgáltatás" sheetId="23" r:id="rId13"/>
    <sheet name="Közfoglalkoztatás" sheetId="24" r:id="rId14"/>
    <sheet name="Önkormányzat személyi" sheetId="6" state="hidden" r:id="rId15"/>
    <sheet name="Önkormányzat DOLOGI" sheetId="7" state="hidden" r:id="rId16"/>
    <sheet name="Önkormányzat Települési támogat" sheetId="8" r:id="rId17"/>
    <sheet name="Önkormányzat Átadott pénzeszköz" sheetId="9" r:id="rId18"/>
    <sheet name="Önkormányzat Beruházás" sheetId="10" r:id="rId19"/>
    <sheet name="Intézményi összesen" sheetId="11" r:id="rId20"/>
    <sheet name="Hivatal 2022 évi elemi költésgv" sheetId="2" r:id="rId21"/>
    <sheet name="Óvoda" sheetId="16" r:id="rId22"/>
    <sheet name="Likviditás" sheetId="26" r:id="rId23"/>
    <sheet name="Létszám" sheetId="27" r:id="rId24"/>
    <sheet name="Közvetett támogatás" sheetId="28" r:id="rId25"/>
    <sheet name="Adósságot keletkeztető ügyletek" sheetId="29" r:id="rId26"/>
    <sheet name="Áthúzódó kötváll" sheetId="30" r:id="rId27"/>
  </sheets>
  <externalReferences>
    <externalReference r:id="rId28"/>
    <externalReference r:id="rId29"/>
  </externalReferences>
  <definedNames>
    <definedName name="_xlnm.Print_Area" localSheetId="8">'Általános kiadások'!$A$1:$F$67</definedName>
    <definedName name="_xlnm.Print_Area" localSheetId="11">'Egészségügyi feladatok'!$A$1:$R$67</definedName>
    <definedName name="_xlnm.Print_Area" localSheetId="10">'Étkeztetési feladatok'!$A$1:$O$69</definedName>
    <definedName name="_xlnm.Print_Area" localSheetId="20">'Hivatal 2022 évi elemi költésgv'!$A$1:$AC$122</definedName>
    <definedName name="_xlnm.Print_Area" localSheetId="19">'Intézményi összesen'!$A$1:$Q$20</definedName>
    <definedName name="_xlnm.Print_Area" localSheetId="13">Közfoglalkoztatás!$A$1:$F$16</definedName>
    <definedName name="_xlnm.Print_Area" localSheetId="4">'Közhatalmi bevétel'!$A$1:$F$21</definedName>
    <definedName name="_xlnm.Print_Area" localSheetId="12">'Kulturális szolgáltatás'!$A$1:$O$65</definedName>
    <definedName name="_xlnm.Print_Area" localSheetId="1">'Mérleg szintű ÖK'!$A$1:$L$25</definedName>
    <definedName name="_xlnm.Print_Area" localSheetId="0">'Mérleg szintű össz'!$A$1:$AH$42</definedName>
    <definedName name="_xlnm.Print_Area" localSheetId="3">Normatíva2022!$A$1:$H$64</definedName>
    <definedName name="_xlnm.Print_Area" localSheetId="21">Óvoda!$A$1:$AN$119</definedName>
    <definedName name="_xlnm.Print_Area" localSheetId="17">'Önkormányzat Átadott pénzeszköz'!$A$1:$H$36</definedName>
    <definedName name="_xlnm.Print_Area" localSheetId="18">'Önkormányzat Beruházás'!$A$1:$C$68</definedName>
    <definedName name="_xlnm.Print_Area" localSheetId="16">'Önkormányzat Települési támogat'!$A$1:$G$25</definedName>
    <definedName name="_xlnm.Print_Area" localSheetId="5">'Saját bevételek'!$A$1:$H$24</definedName>
    <definedName name="_xlnm.Print_Area" localSheetId="9">'Település üzemeltetés'!$A$1:$AC$59</definedName>
    <definedName name="_xlnm.Print_Area" localSheetId="6">'Záró pénzkészlet'!$A$1:$H$42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12" l="1"/>
  <c r="C21" i="12"/>
  <c r="H19" i="12"/>
  <c r="D19" i="12"/>
  <c r="C19" i="12"/>
  <c r="I13" i="15"/>
  <c r="D21" i="15"/>
  <c r="C21" i="15"/>
  <c r="E52" i="4"/>
  <c r="F52" i="4"/>
  <c r="E42" i="4"/>
  <c r="M13" i="11"/>
  <c r="Y20" i="2"/>
  <c r="Z20" i="2"/>
  <c r="F6" i="9"/>
  <c r="E6" i="9"/>
  <c r="E36" i="9" s="1"/>
  <c r="J13" i="15"/>
  <c r="F36" i="9"/>
  <c r="D36" i="9"/>
  <c r="C20" i="10"/>
  <c r="M12" i="22"/>
  <c r="L67" i="22"/>
  <c r="D18" i="12"/>
  <c r="E8" i="32"/>
  <c r="C17" i="32"/>
  <c r="C41" i="32" s="1"/>
  <c r="C7" i="32"/>
  <c r="C12" i="12"/>
  <c r="Q13" i="22"/>
  <c r="Q9" i="22"/>
  <c r="Q10" i="22"/>
  <c r="Q11" i="22"/>
  <c r="Q12" i="22"/>
  <c r="Q8" i="22"/>
  <c r="O12" i="22"/>
  <c r="F59" i="4" l="1"/>
  <c r="H59" i="4"/>
  <c r="B18" i="10"/>
  <c r="B17" i="10"/>
  <c r="D62" i="19"/>
  <c r="E57" i="19"/>
  <c r="D57" i="19"/>
  <c r="G53" i="4"/>
  <c r="G46" i="4"/>
  <c r="G52" i="4" s="1"/>
  <c r="E46" i="4"/>
  <c r="F38" i="4"/>
  <c r="E14" i="11"/>
  <c r="E68" i="10"/>
  <c r="B37" i="10"/>
  <c r="B68" i="10" s="1"/>
  <c r="C30" i="10"/>
  <c r="B30" i="10"/>
  <c r="C18" i="10"/>
  <c r="B36" i="10"/>
  <c r="C68" i="10"/>
  <c r="C65" i="10"/>
  <c r="B65" i="10"/>
  <c r="C37" i="10"/>
  <c r="F30" i="9"/>
  <c r="F18" i="9"/>
  <c r="D35" i="9"/>
  <c r="F7" i="9"/>
  <c r="D7" i="9"/>
  <c r="D18" i="9"/>
  <c r="F25" i="8"/>
  <c r="F27" i="8" s="1"/>
  <c r="E25" i="8"/>
  <c r="D25" i="8"/>
  <c r="D11" i="8"/>
  <c r="E7" i="8"/>
  <c r="F7" i="8"/>
  <c r="D7" i="8"/>
  <c r="F11" i="8"/>
  <c r="E11" i="8"/>
  <c r="AA121" i="2"/>
  <c r="E7" i="14"/>
  <c r="AK57" i="16"/>
  <c r="AK47" i="16"/>
  <c r="AK41" i="16"/>
  <c r="AK33" i="16"/>
  <c r="AI27" i="16"/>
  <c r="AI21" i="16"/>
  <c r="AM8" i="16"/>
  <c r="F13" i="9" l="1"/>
  <c r="G29" i="32" s="1"/>
  <c r="G41" i="32" s="1"/>
  <c r="E17" i="11"/>
  <c r="N67" i="22"/>
  <c r="N29" i="22"/>
  <c r="M16" i="22"/>
  <c r="N16" i="22"/>
  <c r="N19" i="22" s="1"/>
  <c r="M52" i="22"/>
  <c r="L52" i="22"/>
  <c r="M19" i="22"/>
  <c r="J56" i="22"/>
  <c r="K56" i="22"/>
  <c r="J16" i="22"/>
  <c r="K16" i="22"/>
  <c r="K19" i="22" s="1"/>
  <c r="J19" i="22"/>
  <c r="I16" i="22"/>
  <c r="E26" i="22"/>
  <c r="C65" i="22"/>
  <c r="C56" i="22"/>
  <c r="D52" i="22"/>
  <c r="C52" i="22"/>
  <c r="C37" i="22"/>
  <c r="D28" i="22"/>
  <c r="C28" i="22"/>
  <c r="C19" i="22"/>
  <c r="C66" i="22" s="1"/>
  <c r="C14" i="22"/>
  <c r="L61" i="21"/>
  <c r="K68" i="21"/>
  <c r="J68" i="21"/>
  <c r="J69" i="21" s="1"/>
  <c r="K55" i="21"/>
  <c r="J55" i="21"/>
  <c r="I69" i="21"/>
  <c r="I55" i="21"/>
  <c r="I68" i="21"/>
  <c r="F55" i="21"/>
  <c r="H55" i="21"/>
  <c r="H59" i="21"/>
  <c r="H68" i="21"/>
  <c r="G55" i="21"/>
  <c r="G59" i="21"/>
  <c r="G69" i="21" s="1"/>
  <c r="G68" i="21"/>
  <c r="D69" i="21"/>
  <c r="D68" i="21"/>
  <c r="C68" i="21"/>
  <c r="D59" i="21"/>
  <c r="D55" i="21"/>
  <c r="C55" i="21"/>
  <c r="Y16" i="20"/>
  <c r="Z16" i="20"/>
  <c r="Z58" i="20" s="1"/>
  <c r="Z34" i="20"/>
  <c r="Y12" i="20"/>
  <c r="Z12" i="20"/>
  <c r="Y45" i="20"/>
  <c r="Y21" i="20"/>
  <c r="W22" i="20"/>
  <c r="V59" i="20"/>
  <c r="V58" i="20"/>
  <c r="V57" i="20"/>
  <c r="V49" i="20"/>
  <c r="V48" i="20"/>
  <c r="V45" i="20"/>
  <c r="W16" i="20"/>
  <c r="V16" i="20"/>
  <c r="S58" i="20"/>
  <c r="S45" i="20"/>
  <c r="R45" i="20"/>
  <c r="O59" i="20"/>
  <c r="Q54" i="20"/>
  <c r="Q57" i="20"/>
  <c r="P49" i="20"/>
  <c r="P45" i="20"/>
  <c r="O45" i="20"/>
  <c r="P30" i="20"/>
  <c r="P22" i="20"/>
  <c r="P21" i="20"/>
  <c r="P16" i="20"/>
  <c r="O16" i="20"/>
  <c r="P12" i="20"/>
  <c r="K22" i="20"/>
  <c r="G49" i="20"/>
  <c r="H49" i="20"/>
  <c r="H45" i="20"/>
  <c r="G16" i="20"/>
  <c r="H16" i="20"/>
  <c r="G12" i="20"/>
  <c r="H12" i="20"/>
  <c r="F59" i="20"/>
  <c r="G58" i="20"/>
  <c r="F58" i="20"/>
  <c r="E22" i="20"/>
  <c r="C45" i="20"/>
  <c r="D21" i="20"/>
  <c r="C21" i="20"/>
  <c r="N60" i="23"/>
  <c r="L7" i="23"/>
  <c r="J54" i="23"/>
  <c r="I54" i="23"/>
  <c r="G39" i="23"/>
  <c r="H39" i="23"/>
  <c r="F39" i="23"/>
  <c r="G64" i="23"/>
  <c r="F64" i="23"/>
  <c r="E27" i="23"/>
  <c r="D8" i="23"/>
  <c r="J8" i="23"/>
  <c r="L8" i="23"/>
  <c r="M8" i="23" s="1"/>
  <c r="N8" i="23"/>
  <c r="O8" i="23" s="1"/>
  <c r="E16" i="24"/>
  <c r="E11" i="24"/>
  <c r="M34" i="20"/>
  <c r="N22" i="20"/>
  <c r="D64" i="19"/>
  <c r="E64" i="19"/>
  <c r="D48" i="19"/>
  <c r="C48" i="19"/>
  <c r="E42" i="19"/>
  <c r="E39" i="19"/>
  <c r="G24" i="13"/>
  <c r="H21" i="13"/>
  <c r="E6" i="13"/>
  <c r="C16" i="14"/>
  <c r="W119" i="16"/>
  <c r="AH108" i="16"/>
  <c r="AH102" i="16"/>
  <c r="AH82" i="16"/>
  <c r="AH81" i="16"/>
  <c r="AH67" i="16"/>
  <c r="AH47" i="16"/>
  <c r="AH41" i="16"/>
  <c r="AG33" i="16"/>
  <c r="AN21" i="16"/>
  <c r="AM21" i="16"/>
  <c r="AL27" i="16"/>
  <c r="AL26" i="16"/>
  <c r="AL25" i="16"/>
  <c r="AL24" i="16"/>
  <c r="AL21" i="16"/>
  <c r="AK81" i="16"/>
  <c r="AK67" i="16"/>
  <c r="AK61" i="16"/>
  <c r="AK66" i="16"/>
  <c r="AK48" i="16"/>
  <c r="AK26" i="16"/>
  <c r="AK24" i="16"/>
  <c r="AK21" i="16"/>
  <c r="AJ26" i="16"/>
  <c r="AJ25" i="16"/>
  <c r="AJ24" i="16"/>
  <c r="AJ21" i="16"/>
  <c r="AI67" i="16"/>
  <c r="AI82" i="16" s="1"/>
  <c r="AI57" i="16"/>
  <c r="AI25" i="16"/>
  <c r="AH27" i="16"/>
  <c r="AH25" i="16"/>
  <c r="AH21" i="16"/>
  <c r="AG8" i="16"/>
  <c r="AG21" i="16"/>
  <c r="AI26" i="16"/>
  <c r="AI24" i="16"/>
  <c r="AA122" i="2"/>
  <c r="AA52" i="2"/>
  <c r="AA44" i="2"/>
  <c r="Z44" i="2"/>
  <c r="Z25" i="2"/>
  <c r="Z27" i="2" s="1"/>
  <c r="AB107" i="2"/>
  <c r="Z107" i="2"/>
  <c r="AA107" i="2"/>
  <c r="Y107" i="2"/>
  <c r="AA101" i="2"/>
  <c r="AA97" i="2"/>
  <c r="AA93" i="2"/>
  <c r="AB82" i="2"/>
  <c r="AA71" i="2"/>
  <c r="AA79" i="2" s="1"/>
  <c r="AA67" i="2"/>
  <c r="AA58" i="2"/>
  <c r="Y57" i="2"/>
  <c r="AA53" i="2"/>
  <c r="AA45" i="2"/>
  <c r="AA34" i="2"/>
  <c r="Z34" i="2"/>
  <c r="AA26" i="2"/>
  <c r="AA23" i="2"/>
  <c r="AA19" i="2"/>
  <c r="AA16" i="2"/>
  <c r="AA15" i="2"/>
  <c r="AA13" i="2"/>
  <c r="AA7" i="2"/>
  <c r="H69" i="21" l="1"/>
  <c r="AA57" i="2"/>
  <c r="AA94" i="2" s="1"/>
  <c r="AA20" i="2"/>
  <c r="B13" i="10" l="1"/>
  <c r="R33" i="16"/>
  <c r="G9" i="22" l="1"/>
  <c r="G10" i="22"/>
  <c r="G11" i="22"/>
  <c r="G12" i="22"/>
  <c r="G13" i="22"/>
  <c r="G14" i="22"/>
  <c r="G15" i="22"/>
  <c r="G18" i="22"/>
  <c r="G20" i="22"/>
  <c r="G21" i="22"/>
  <c r="G22" i="22"/>
  <c r="G23" i="22"/>
  <c r="G24" i="22"/>
  <c r="G25" i="22"/>
  <c r="G28" i="22"/>
  <c r="G29" i="22"/>
  <c r="G33" i="22"/>
  <c r="G34" i="22"/>
  <c r="G35" i="22"/>
  <c r="G36" i="22"/>
  <c r="G37" i="22"/>
  <c r="G38" i="22"/>
  <c r="G39" i="22"/>
  <c r="G42" i="22"/>
  <c r="G43" i="22"/>
  <c r="G44" i="22"/>
  <c r="G45" i="22"/>
  <c r="G46" i="22"/>
  <c r="G48" i="22"/>
  <c r="G49" i="22"/>
  <c r="G50" i="22"/>
  <c r="G51" i="22"/>
  <c r="G53" i="22"/>
  <c r="G54" i="22"/>
  <c r="G55" i="22"/>
  <c r="G56" i="22"/>
  <c r="G59" i="22"/>
  <c r="G60" i="22"/>
  <c r="G61" i="22"/>
  <c r="G62" i="22"/>
  <c r="G63" i="22"/>
  <c r="G64" i="22"/>
  <c r="G65" i="22"/>
  <c r="G66" i="22"/>
  <c r="G67" i="22"/>
  <c r="D10" i="22"/>
  <c r="D12" i="22"/>
  <c r="D13" i="22"/>
  <c r="D15" i="22"/>
  <c r="D17" i="22"/>
  <c r="D18" i="22"/>
  <c r="D21" i="22"/>
  <c r="D22" i="22"/>
  <c r="D23" i="22"/>
  <c r="D24" i="22"/>
  <c r="D26" i="22"/>
  <c r="D27" i="22"/>
  <c r="D33" i="22"/>
  <c r="D34" i="22"/>
  <c r="D35" i="22"/>
  <c r="D36" i="22"/>
  <c r="D38" i="22"/>
  <c r="D39" i="22"/>
  <c r="D40" i="22"/>
  <c r="D42" i="22"/>
  <c r="D43" i="22"/>
  <c r="D44" i="22"/>
  <c r="D45" i="22"/>
  <c r="D46" i="22"/>
  <c r="D47" i="22"/>
  <c r="D48" i="22"/>
  <c r="D49" i="22"/>
  <c r="D50" i="22"/>
  <c r="D51" i="22"/>
  <c r="D53" i="22"/>
  <c r="D54" i="22"/>
  <c r="D57" i="22"/>
  <c r="D58" i="22"/>
  <c r="D59" i="22"/>
  <c r="D60" i="22"/>
  <c r="D62" i="22"/>
  <c r="D63" i="22"/>
  <c r="D64" i="22"/>
  <c r="J18" i="11"/>
  <c r="E19" i="15"/>
  <c r="E39" i="33"/>
  <c r="Z12" i="2"/>
  <c r="Z14" i="2"/>
  <c r="Z22" i="2"/>
  <c r="Z26" i="2"/>
  <c r="Z53" i="2"/>
  <c r="Z57" i="2" s="1"/>
  <c r="AB57" i="2" s="1"/>
  <c r="Z58" i="2"/>
  <c r="Z65" i="2"/>
  <c r="Z66" i="2"/>
  <c r="Z71" i="2"/>
  <c r="Z83" i="2"/>
  <c r="Z86" i="2"/>
  <c r="Z87" i="2"/>
  <c r="Z108" i="2"/>
  <c r="Z109" i="2"/>
  <c r="Z110" i="2"/>
  <c r="Z111" i="2"/>
  <c r="Z112" i="2"/>
  <c r="Z116" i="2"/>
  <c r="Z119" i="2"/>
  <c r="R116" i="16"/>
  <c r="M116" i="16"/>
  <c r="C10" i="10"/>
  <c r="C11" i="10"/>
  <c r="C12" i="10"/>
  <c r="C13" i="10"/>
  <c r="C15" i="10"/>
  <c r="C16" i="10"/>
  <c r="C19" i="10"/>
  <c r="C21" i="10"/>
  <c r="C22" i="10"/>
  <c r="C23" i="10"/>
  <c r="C24" i="10"/>
  <c r="C25" i="10"/>
  <c r="C26" i="10"/>
  <c r="C27" i="10"/>
  <c r="C28" i="10"/>
  <c r="C29" i="10"/>
  <c r="C31" i="10"/>
  <c r="C32" i="10"/>
  <c r="C33" i="10"/>
  <c r="C34" i="10"/>
  <c r="C38" i="10"/>
  <c r="C39" i="10"/>
  <c r="C41" i="10"/>
  <c r="C42" i="10"/>
  <c r="C43" i="10"/>
  <c r="C44" i="10"/>
  <c r="C46" i="10"/>
  <c r="C47" i="10"/>
  <c r="C49" i="10"/>
  <c r="C50" i="10"/>
  <c r="C51" i="10"/>
  <c r="C52" i="10"/>
  <c r="C53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9" i="10"/>
  <c r="E9" i="9"/>
  <c r="E10" i="9"/>
  <c r="G10" i="9" s="1"/>
  <c r="E11" i="9"/>
  <c r="E12" i="9"/>
  <c r="E14" i="9"/>
  <c r="E15" i="9"/>
  <c r="E16" i="9"/>
  <c r="E17" i="9"/>
  <c r="E19" i="9"/>
  <c r="E20" i="9"/>
  <c r="E21" i="9"/>
  <c r="E22" i="9"/>
  <c r="E23" i="9"/>
  <c r="E24" i="9"/>
  <c r="E25" i="9"/>
  <c r="E26" i="9"/>
  <c r="E27" i="9"/>
  <c r="E28" i="9"/>
  <c r="E29" i="9"/>
  <c r="E31" i="9"/>
  <c r="E32" i="9"/>
  <c r="E33" i="9"/>
  <c r="E34" i="9"/>
  <c r="E8" i="8"/>
  <c r="E9" i="8"/>
  <c r="E10" i="8"/>
  <c r="E12" i="8"/>
  <c r="E13" i="8"/>
  <c r="E14" i="8"/>
  <c r="E15" i="8"/>
  <c r="E16" i="8"/>
  <c r="E17" i="8"/>
  <c r="E18" i="8"/>
  <c r="E19" i="8"/>
  <c r="E20" i="8"/>
  <c r="E21" i="8"/>
  <c r="E23" i="8"/>
  <c r="E24" i="8"/>
  <c r="D8" i="24"/>
  <c r="D9" i="24"/>
  <c r="D10" i="24"/>
  <c r="D12" i="24"/>
  <c r="D14" i="24"/>
  <c r="D15" i="24"/>
  <c r="D7" i="24"/>
  <c r="J9" i="23"/>
  <c r="J10" i="23"/>
  <c r="J11" i="23"/>
  <c r="J12" i="23"/>
  <c r="J13" i="23"/>
  <c r="J14" i="23"/>
  <c r="J15" i="23"/>
  <c r="J16" i="23"/>
  <c r="J19" i="23"/>
  <c r="J20" i="23"/>
  <c r="J21" i="23"/>
  <c r="J22" i="23"/>
  <c r="J24" i="23"/>
  <c r="J25" i="23"/>
  <c r="J28" i="23"/>
  <c r="J29" i="23"/>
  <c r="J30" i="23"/>
  <c r="J31" i="23"/>
  <c r="J32" i="23"/>
  <c r="J33" i="23"/>
  <c r="J34" i="23"/>
  <c r="J35" i="23"/>
  <c r="J36" i="23"/>
  <c r="J37" i="23"/>
  <c r="J38" i="23"/>
  <c r="J40" i="23"/>
  <c r="J41" i="23"/>
  <c r="J42" i="23"/>
  <c r="J43" i="23"/>
  <c r="J44" i="23"/>
  <c r="J45" i="23"/>
  <c r="J46" i="23"/>
  <c r="J47" i="23"/>
  <c r="J48" i="23"/>
  <c r="J49" i="23"/>
  <c r="J50" i="23"/>
  <c r="J52" i="23"/>
  <c r="J56" i="23"/>
  <c r="J58" i="23"/>
  <c r="J59" i="23"/>
  <c r="J60" i="23"/>
  <c r="J61" i="23"/>
  <c r="J62" i="23"/>
  <c r="J63" i="23"/>
  <c r="G9" i="23"/>
  <c r="G10" i="23"/>
  <c r="G11" i="23"/>
  <c r="G12" i="23"/>
  <c r="G13" i="23"/>
  <c r="G14" i="23"/>
  <c r="G15" i="23"/>
  <c r="G16" i="23"/>
  <c r="G19" i="23"/>
  <c r="G20" i="23"/>
  <c r="G21" i="23"/>
  <c r="G24" i="23"/>
  <c r="G31" i="23"/>
  <c r="G32" i="23"/>
  <c r="G33" i="23"/>
  <c r="G34" i="23"/>
  <c r="G35" i="23"/>
  <c r="G40" i="23"/>
  <c r="G41" i="23"/>
  <c r="G42" i="23"/>
  <c r="G43" i="23"/>
  <c r="G44" i="23"/>
  <c r="G45" i="23"/>
  <c r="G46" i="23"/>
  <c r="G48" i="23"/>
  <c r="G49" i="23"/>
  <c r="G50" i="23"/>
  <c r="G57" i="23"/>
  <c r="G58" i="23"/>
  <c r="G59" i="23"/>
  <c r="G60" i="23"/>
  <c r="G61" i="23"/>
  <c r="G62" i="23"/>
  <c r="G63" i="23"/>
  <c r="D9" i="23"/>
  <c r="D10" i="23"/>
  <c r="D11" i="23"/>
  <c r="D12" i="23"/>
  <c r="D13" i="23"/>
  <c r="D14" i="23"/>
  <c r="D15" i="23"/>
  <c r="D19" i="23"/>
  <c r="D20" i="23"/>
  <c r="D21" i="23"/>
  <c r="D22" i="23"/>
  <c r="D24" i="23"/>
  <c r="D25" i="23"/>
  <c r="D27" i="23"/>
  <c r="D31" i="23"/>
  <c r="D32" i="23"/>
  <c r="D33" i="23"/>
  <c r="D34" i="23"/>
  <c r="D36" i="23"/>
  <c r="D37" i="23"/>
  <c r="D38" i="23"/>
  <c r="D39" i="23"/>
  <c r="D40" i="23"/>
  <c r="D41" i="23"/>
  <c r="D42" i="23"/>
  <c r="D43" i="23"/>
  <c r="D44" i="23"/>
  <c r="D45" i="23"/>
  <c r="D56" i="23"/>
  <c r="D57" i="23"/>
  <c r="D58" i="23"/>
  <c r="D59" i="23"/>
  <c r="D60" i="23"/>
  <c r="D61" i="23"/>
  <c r="D62" i="23"/>
  <c r="D63" i="23"/>
  <c r="M9" i="22"/>
  <c r="M10" i="22"/>
  <c r="M11" i="22"/>
  <c r="M13" i="22"/>
  <c r="M15" i="22"/>
  <c r="M17" i="22"/>
  <c r="M18" i="22"/>
  <c r="M21" i="22"/>
  <c r="M22" i="22"/>
  <c r="M23" i="22"/>
  <c r="M24" i="22"/>
  <c r="M33" i="22"/>
  <c r="M34" i="22"/>
  <c r="M35" i="22"/>
  <c r="M36" i="22"/>
  <c r="M38" i="22"/>
  <c r="M39" i="22"/>
  <c r="M42" i="22"/>
  <c r="M43" i="22"/>
  <c r="M44" i="22"/>
  <c r="M45" i="22"/>
  <c r="M46" i="22"/>
  <c r="M47" i="22"/>
  <c r="M48" i="22"/>
  <c r="M49" i="22"/>
  <c r="M50" i="22"/>
  <c r="M51" i="22"/>
  <c r="M53" i="22"/>
  <c r="M54" i="22"/>
  <c r="M58" i="22"/>
  <c r="M59" i="22"/>
  <c r="M60" i="22"/>
  <c r="M62" i="22"/>
  <c r="M63" i="22"/>
  <c r="M64" i="22"/>
  <c r="J9" i="22"/>
  <c r="J10" i="22"/>
  <c r="J11" i="22"/>
  <c r="J12" i="22"/>
  <c r="J13" i="22"/>
  <c r="J15" i="22"/>
  <c r="J17" i="22"/>
  <c r="J18" i="22"/>
  <c r="J21" i="22"/>
  <c r="J22" i="22"/>
  <c r="J23" i="22"/>
  <c r="J24" i="22"/>
  <c r="J26" i="22"/>
  <c r="J27" i="22"/>
  <c r="J33" i="22"/>
  <c r="J34" i="22"/>
  <c r="J35" i="22"/>
  <c r="J36" i="22"/>
  <c r="J38" i="22"/>
  <c r="J39" i="22"/>
  <c r="J40" i="22"/>
  <c r="J42" i="22"/>
  <c r="J43" i="22"/>
  <c r="J44" i="22"/>
  <c r="J45" i="22"/>
  <c r="J46" i="22"/>
  <c r="J47" i="22"/>
  <c r="J48" i="22"/>
  <c r="J49" i="22"/>
  <c r="J50" i="22"/>
  <c r="J51" i="22"/>
  <c r="J53" i="22"/>
  <c r="J54" i="22"/>
  <c r="J57" i="22"/>
  <c r="J58" i="22"/>
  <c r="J59" i="22"/>
  <c r="J60" i="22"/>
  <c r="J62" i="22"/>
  <c r="J63" i="22"/>
  <c r="J64" i="22"/>
  <c r="G8" i="22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6" i="21"/>
  <c r="J57" i="21"/>
  <c r="J58" i="21"/>
  <c r="J61" i="21"/>
  <c r="J62" i="21"/>
  <c r="J63" i="21"/>
  <c r="J64" i="21"/>
  <c r="G15" i="21"/>
  <c r="G16" i="21"/>
  <c r="G17" i="21"/>
  <c r="G18" i="21"/>
  <c r="G19" i="21"/>
  <c r="G20" i="21"/>
  <c r="G21" i="21"/>
  <c r="G23" i="21"/>
  <c r="G24" i="21"/>
  <c r="G25" i="21"/>
  <c r="G26" i="21"/>
  <c r="G27" i="21"/>
  <c r="G28" i="21"/>
  <c r="G29" i="21"/>
  <c r="G30" i="21"/>
  <c r="G32" i="21"/>
  <c r="G33" i="21"/>
  <c r="G34" i="21"/>
  <c r="G35" i="21"/>
  <c r="G36" i="21"/>
  <c r="G37" i="21"/>
  <c r="G38" i="21"/>
  <c r="G39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6" i="21"/>
  <c r="G57" i="21"/>
  <c r="G61" i="21"/>
  <c r="G62" i="21"/>
  <c r="G63" i="21"/>
  <c r="D15" i="21"/>
  <c r="D16" i="21"/>
  <c r="D17" i="21"/>
  <c r="D18" i="21"/>
  <c r="D19" i="21"/>
  <c r="D20" i="21"/>
  <c r="D21" i="21"/>
  <c r="D24" i="21"/>
  <c r="D25" i="21"/>
  <c r="D26" i="21"/>
  <c r="D27" i="21"/>
  <c r="D29" i="21"/>
  <c r="D30" i="21"/>
  <c r="D32" i="21"/>
  <c r="D33" i="21"/>
  <c r="D34" i="21"/>
  <c r="D35" i="21"/>
  <c r="D36" i="21"/>
  <c r="D37" i="21"/>
  <c r="D38" i="21"/>
  <c r="D39" i="21"/>
  <c r="D41" i="21"/>
  <c r="D42" i="21"/>
  <c r="D43" i="21"/>
  <c r="D45" i="21"/>
  <c r="D46" i="21"/>
  <c r="D47" i="21"/>
  <c r="D48" i="21"/>
  <c r="D49" i="21"/>
  <c r="D50" i="21"/>
  <c r="D51" i="21"/>
  <c r="D52" i="21"/>
  <c r="D53" i="21"/>
  <c r="D54" i="21"/>
  <c r="D56" i="21"/>
  <c r="D57" i="21"/>
  <c r="D60" i="21"/>
  <c r="D61" i="21"/>
  <c r="D62" i="21"/>
  <c r="D63" i="21"/>
  <c r="Y9" i="20"/>
  <c r="Y15" i="20"/>
  <c r="Y26" i="20"/>
  <c r="Y27" i="20"/>
  <c r="Y28" i="20"/>
  <c r="Y29" i="20"/>
  <c r="Y31" i="20"/>
  <c r="Y32" i="20"/>
  <c r="Y33" i="20"/>
  <c r="Y34" i="20"/>
  <c r="Y35" i="20"/>
  <c r="Y36" i="20"/>
  <c r="Y37" i="20"/>
  <c r="Y38" i="20"/>
  <c r="Y39" i="20"/>
  <c r="Y40" i="20"/>
  <c r="Y41" i="20"/>
  <c r="Y42" i="20"/>
  <c r="Y43" i="20"/>
  <c r="Y44" i="20"/>
  <c r="Y46" i="20"/>
  <c r="Y47" i="20"/>
  <c r="Y50" i="20"/>
  <c r="Y51" i="20"/>
  <c r="Y52" i="20"/>
  <c r="Y53" i="20"/>
  <c r="Y55" i="20"/>
  <c r="Y56" i="20"/>
  <c r="V9" i="20"/>
  <c r="V15" i="20"/>
  <c r="V17" i="20"/>
  <c r="V18" i="20"/>
  <c r="V22" i="20"/>
  <c r="V26" i="20"/>
  <c r="V27" i="20"/>
  <c r="V28" i="20"/>
  <c r="V29" i="20"/>
  <c r="V31" i="20"/>
  <c r="V32" i="20"/>
  <c r="V33" i="20"/>
  <c r="V34" i="20"/>
  <c r="V35" i="20"/>
  <c r="V36" i="20"/>
  <c r="V37" i="20"/>
  <c r="V38" i="20"/>
  <c r="V39" i="20"/>
  <c r="V40" i="20"/>
  <c r="V41" i="20"/>
  <c r="V42" i="20"/>
  <c r="V43" i="20"/>
  <c r="V44" i="20"/>
  <c r="V46" i="20"/>
  <c r="V47" i="20"/>
  <c r="V50" i="20"/>
  <c r="V51" i="20"/>
  <c r="V52" i="20"/>
  <c r="V53" i="20"/>
  <c r="S9" i="20"/>
  <c r="S17" i="20"/>
  <c r="S18" i="20"/>
  <c r="S26" i="20"/>
  <c r="S27" i="20"/>
  <c r="S28" i="20"/>
  <c r="S29" i="20"/>
  <c r="S31" i="20"/>
  <c r="S32" i="20"/>
  <c r="S33" i="20"/>
  <c r="S34" i="20"/>
  <c r="S35" i="20"/>
  <c r="S36" i="20"/>
  <c r="S37" i="20"/>
  <c r="S38" i="20"/>
  <c r="S39" i="20"/>
  <c r="S40" i="20"/>
  <c r="S41" i="20"/>
  <c r="S42" i="20"/>
  <c r="S43" i="20"/>
  <c r="S44" i="20"/>
  <c r="S46" i="20"/>
  <c r="S47" i="20"/>
  <c r="S52" i="20"/>
  <c r="S53" i="20"/>
  <c r="P9" i="20"/>
  <c r="P13" i="20"/>
  <c r="P31" i="20"/>
  <c r="P32" i="20"/>
  <c r="P33" i="20"/>
  <c r="P35" i="20"/>
  <c r="P36" i="20"/>
  <c r="P37" i="20"/>
  <c r="P38" i="20"/>
  <c r="P39" i="20"/>
  <c r="P40" i="20"/>
  <c r="P41" i="20"/>
  <c r="P42" i="20"/>
  <c r="P43" i="20"/>
  <c r="P44" i="20"/>
  <c r="P46" i="20"/>
  <c r="P47" i="20"/>
  <c r="P51" i="20"/>
  <c r="P52" i="20"/>
  <c r="P53" i="20"/>
  <c r="M9" i="20"/>
  <c r="M11" i="20"/>
  <c r="M13" i="20"/>
  <c r="M14" i="20"/>
  <c r="M15" i="20"/>
  <c r="M17" i="20"/>
  <c r="M18" i="20"/>
  <c r="M19" i="20"/>
  <c r="M20" i="20"/>
  <c r="M22" i="20"/>
  <c r="M23" i="20"/>
  <c r="M24" i="20"/>
  <c r="M25" i="20"/>
  <c r="M26" i="20"/>
  <c r="M27" i="20"/>
  <c r="M28" i="20"/>
  <c r="M29" i="20"/>
  <c r="M31" i="20"/>
  <c r="M32" i="20"/>
  <c r="M33" i="20"/>
  <c r="M35" i="20"/>
  <c r="M36" i="20"/>
  <c r="M37" i="20"/>
  <c r="M38" i="20"/>
  <c r="M39" i="20"/>
  <c r="M40" i="20"/>
  <c r="M41" i="20"/>
  <c r="M42" i="20"/>
  <c r="M43" i="20"/>
  <c r="M44" i="20"/>
  <c r="M46" i="20"/>
  <c r="M47" i="20"/>
  <c r="M50" i="20"/>
  <c r="M51" i="20"/>
  <c r="M52" i="20"/>
  <c r="M53" i="20"/>
  <c r="M55" i="20"/>
  <c r="M56" i="20"/>
  <c r="M8" i="20"/>
  <c r="J9" i="20"/>
  <c r="J15" i="20"/>
  <c r="J17" i="20"/>
  <c r="J18" i="20"/>
  <c r="J21" i="20"/>
  <c r="J22" i="20"/>
  <c r="J26" i="20"/>
  <c r="J45" i="20" s="1"/>
  <c r="J27" i="20"/>
  <c r="J28" i="20"/>
  <c r="J29" i="20"/>
  <c r="J31" i="20"/>
  <c r="J32" i="20"/>
  <c r="J33" i="20"/>
  <c r="J35" i="20"/>
  <c r="J36" i="20"/>
  <c r="J37" i="20"/>
  <c r="J38" i="20"/>
  <c r="J39" i="20"/>
  <c r="J40" i="20"/>
  <c r="J41" i="20"/>
  <c r="J42" i="20"/>
  <c r="J43" i="20"/>
  <c r="J44" i="20"/>
  <c r="J46" i="20"/>
  <c r="J47" i="20"/>
  <c r="J48" i="20"/>
  <c r="J51" i="20"/>
  <c r="J52" i="20"/>
  <c r="J53" i="20"/>
  <c r="G9" i="20"/>
  <c r="G14" i="20"/>
  <c r="G15" i="20"/>
  <c r="G17" i="20"/>
  <c r="G18" i="20"/>
  <c r="G26" i="20"/>
  <c r="G27" i="20"/>
  <c r="G28" i="20"/>
  <c r="G29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6" i="20"/>
  <c r="G47" i="20"/>
  <c r="G51" i="20"/>
  <c r="G52" i="20"/>
  <c r="G53" i="20"/>
  <c r="G56" i="20"/>
  <c r="D11" i="20"/>
  <c r="D14" i="20"/>
  <c r="D17" i="20"/>
  <c r="D18" i="20"/>
  <c r="D22" i="20"/>
  <c r="D26" i="20"/>
  <c r="D27" i="20"/>
  <c r="D28" i="20"/>
  <c r="D29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6" i="20"/>
  <c r="D47" i="20"/>
  <c r="D48" i="20"/>
  <c r="D50" i="20"/>
  <c r="D51" i="20"/>
  <c r="D52" i="20"/>
  <c r="D53" i="20"/>
  <c r="D55" i="20"/>
  <c r="D56" i="20"/>
  <c r="D10" i="19"/>
  <c r="D11" i="19"/>
  <c r="D12" i="19"/>
  <c r="D15" i="19"/>
  <c r="D16" i="19"/>
  <c r="D21" i="19"/>
  <c r="D22" i="19"/>
  <c r="D23" i="19"/>
  <c r="D26" i="19"/>
  <c r="D27" i="19"/>
  <c r="D29" i="19"/>
  <c r="D31" i="19"/>
  <c r="D32" i="19"/>
  <c r="D33" i="19"/>
  <c r="D34" i="19"/>
  <c r="D35" i="19"/>
  <c r="D36" i="19"/>
  <c r="D37" i="19"/>
  <c r="D38" i="19"/>
  <c r="D40" i="19"/>
  <c r="D41" i="19"/>
  <c r="D49" i="19"/>
  <c r="D50" i="19"/>
  <c r="D53" i="19"/>
  <c r="D54" i="19"/>
  <c r="D55" i="19"/>
  <c r="D58" i="19"/>
  <c r="D59" i="19"/>
  <c r="D60" i="19"/>
  <c r="D61" i="19"/>
  <c r="D63" i="19"/>
  <c r="F12" i="13"/>
  <c r="F13" i="13"/>
  <c r="F14" i="13"/>
  <c r="F16" i="13"/>
  <c r="F18" i="13"/>
  <c r="F19" i="13"/>
  <c r="H19" i="13" s="1"/>
  <c r="F21" i="13"/>
  <c r="F22" i="13"/>
  <c r="F23" i="13"/>
  <c r="F7" i="13"/>
  <c r="F8" i="13"/>
  <c r="F9" i="13"/>
  <c r="F10" i="13"/>
  <c r="F11" i="13"/>
  <c r="F5" i="13"/>
  <c r="D8" i="14"/>
  <c r="D9" i="14"/>
  <c r="D10" i="14"/>
  <c r="D12" i="14"/>
  <c r="D13" i="14"/>
  <c r="D15" i="14"/>
  <c r="D18" i="14"/>
  <c r="D19" i="14"/>
  <c r="F26" i="4"/>
  <c r="F27" i="4"/>
  <c r="F28" i="4"/>
  <c r="F29" i="4"/>
  <c r="F30" i="4"/>
  <c r="F32" i="4"/>
  <c r="F33" i="4"/>
  <c r="F35" i="4"/>
  <c r="F36" i="4"/>
  <c r="F37" i="4"/>
  <c r="F39" i="4"/>
  <c r="F41" i="4"/>
  <c r="F42" i="4"/>
  <c r="F43" i="4"/>
  <c r="F44" i="4"/>
  <c r="F45" i="4"/>
  <c r="F47" i="4"/>
  <c r="F48" i="4"/>
  <c r="F49" i="4"/>
  <c r="F54" i="4"/>
  <c r="F55" i="4"/>
  <c r="F56" i="4"/>
  <c r="F58" i="4"/>
  <c r="F60" i="4"/>
  <c r="F62" i="4"/>
  <c r="H26" i="16"/>
  <c r="H8" i="16"/>
  <c r="C19" i="19"/>
  <c r="D19" i="19" s="1"/>
  <c r="C14" i="19"/>
  <c r="D14" i="19" s="1"/>
  <c r="G14" i="19" s="1"/>
  <c r="E35" i="9"/>
  <c r="D22" i="8"/>
  <c r="E22" i="8" s="1"/>
  <c r="C14" i="14"/>
  <c r="D14" i="14" s="1"/>
  <c r="E18" i="9" l="1"/>
  <c r="E7" i="9"/>
  <c r="E30" i="9"/>
  <c r="F24" i="13"/>
  <c r="F46" i="4"/>
  <c r="C8" i="15"/>
  <c r="C9" i="12" s="1"/>
  <c r="C17" i="10"/>
  <c r="O115" i="16"/>
  <c r="E42" i="25"/>
  <c r="L50" i="23"/>
  <c r="I56" i="22"/>
  <c r="G41" i="22"/>
  <c r="G16" i="22"/>
  <c r="E17" i="14"/>
  <c r="E21" i="14" s="1"/>
  <c r="C17" i="14"/>
  <c r="D17" i="14" l="1"/>
  <c r="C21" i="14"/>
  <c r="F52" i="22"/>
  <c r="G52" i="22" s="1"/>
  <c r="F19" i="22"/>
  <c r="G19" i="22" s="1"/>
  <c r="M50" i="23"/>
  <c r="C49" i="20" l="1"/>
  <c r="D49" i="20" s="1"/>
  <c r="L16" i="22"/>
  <c r="J14" i="21"/>
  <c r="P17" i="22" l="1"/>
  <c r="AB51" i="20"/>
  <c r="L12" i="11"/>
  <c r="L14" i="11"/>
  <c r="P10" i="22"/>
  <c r="P11" i="22"/>
  <c r="P12" i="22"/>
  <c r="P13" i="22"/>
  <c r="P15" i="22"/>
  <c r="P18" i="22"/>
  <c r="P21" i="22"/>
  <c r="P22" i="22"/>
  <c r="P23" i="22"/>
  <c r="P24" i="22"/>
  <c r="P27" i="22"/>
  <c r="P30" i="22"/>
  <c r="P31" i="22"/>
  <c r="P32" i="22"/>
  <c r="P33" i="22"/>
  <c r="P34" i="22"/>
  <c r="P35" i="22"/>
  <c r="P36" i="22"/>
  <c r="P38" i="22"/>
  <c r="P39" i="22"/>
  <c r="P40" i="22"/>
  <c r="P42" i="22"/>
  <c r="P43" i="22"/>
  <c r="P44" i="22"/>
  <c r="P45" i="22"/>
  <c r="P46" i="22"/>
  <c r="P47" i="22"/>
  <c r="P48" i="22"/>
  <c r="P49" i="22"/>
  <c r="P50" i="22"/>
  <c r="P51" i="22"/>
  <c r="P53" i="22"/>
  <c r="P54" i="22"/>
  <c r="P59" i="22"/>
  <c r="P60" i="22"/>
  <c r="P62" i="22"/>
  <c r="P63" i="22"/>
  <c r="P64" i="22"/>
  <c r="C16" i="32" l="1"/>
  <c r="C40" i="32" s="1"/>
  <c r="D42" i="33"/>
  <c r="E42" i="33" s="1"/>
  <c r="E37" i="33"/>
  <c r="E36" i="33" s="1"/>
  <c r="E29" i="33"/>
  <c r="E28" i="33" s="1"/>
  <c r="E22" i="33"/>
  <c r="E20" i="33"/>
  <c r="E19" i="33"/>
  <c r="E25" i="33"/>
  <c r="E6" i="33"/>
  <c r="F6" i="33" s="1"/>
  <c r="E24" i="33" l="1"/>
  <c r="E21" i="15" l="1"/>
  <c r="D30" i="9"/>
  <c r="D13" i="9" s="1"/>
  <c r="D37" i="10" l="1"/>
  <c r="K16" i="11"/>
  <c r="J15" i="11"/>
  <c r="F16" i="11"/>
  <c r="E18" i="11"/>
  <c r="D17" i="11"/>
  <c r="C17" i="11"/>
  <c r="D15" i="11"/>
  <c r="E15" i="11"/>
  <c r="C15" i="11"/>
  <c r="D14" i="11"/>
  <c r="F14" i="11" s="1"/>
  <c r="C14" i="11"/>
  <c r="D9" i="11"/>
  <c r="D65" i="10"/>
  <c r="G6" i="13"/>
  <c r="G15" i="33"/>
  <c r="E13" i="9" l="1"/>
  <c r="D68" i="10"/>
  <c r="I35" i="32" s="1"/>
  <c r="F15" i="11"/>
  <c r="F17" i="11"/>
  <c r="V120" i="2"/>
  <c r="V118" i="2" s="1"/>
  <c r="V121" i="2" s="1"/>
  <c r="T120" i="2"/>
  <c r="U120" i="2" s="1"/>
  <c r="E120" i="2"/>
  <c r="D120" i="2"/>
  <c r="W119" i="2"/>
  <c r="W118" i="2" s="1"/>
  <c r="T119" i="2"/>
  <c r="X118" i="2"/>
  <c r="X121" i="2" s="1"/>
  <c r="S118" i="2"/>
  <c r="S121" i="2" s="1"/>
  <c r="R118" i="2"/>
  <c r="R121" i="2" s="1"/>
  <c r="Q118" i="2"/>
  <c r="Q121" i="2" s="1"/>
  <c r="P118" i="2"/>
  <c r="P121" i="2" s="1"/>
  <c r="O118" i="2"/>
  <c r="N118" i="2"/>
  <c r="N121" i="2" s="1"/>
  <c r="M118" i="2"/>
  <c r="M121" i="2" s="1"/>
  <c r="L118" i="2"/>
  <c r="K118" i="2"/>
  <c r="K121" i="2" s="1"/>
  <c r="J118" i="2"/>
  <c r="J121" i="2" s="1"/>
  <c r="I118" i="2"/>
  <c r="H118" i="2"/>
  <c r="G118" i="2"/>
  <c r="F118" i="2"/>
  <c r="AC117" i="2"/>
  <c r="AB117" i="2"/>
  <c r="H117" i="2"/>
  <c r="F117" i="2"/>
  <c r="O117" i="2" s="1"/>
  <c r="G117" i="2" s="1"/>
  <c r="AB116" i="2"/>
  <c r="W116" i="2"/>
  <c r="U116" i="2"/>
  <c r="O116" i="2"/>
  <c r="L116" i="2"/>
  <c r="H116" i="2"/>
  <c r="AB115" i="2"/>
  <c r="H115" i="2"/>
  <c r="G115" i="2"/>
  <c r="F115" i="2"/>
  <c r="U115" i="2" s="1"/>
  <c r="Y114" i="2"/>
  <c r="Z114" i="2" s="1"/>
  <c r="AB114" i="2" s="1"/>
  <c r="T114" i="2"/>
  <c r="U114" i="2" s="1"/>
  <c r="AC112" i="2"/>
  <c r="AB112" i="2"/>
  <c r="V112" i="2"/>
  <c r="T112" i="2"/>
  <c r="S112" i="2"/>
  <c r="R112" i="2"/>
  <c r="Q112" i="2"/>
  <c r="L112" i="2" s="1"/>
  <c r="G112" i="2" s="1"/>
  <c r="P112" i="2"/>
  <c r="K112" i="2" s="1"/>
  <c r="F112" i="2" s="1"/>
  <c r="O112" i="2"/>
  <c r="J112" i="2" s="1"/>
  <c r="N112" i="2"/>
  <c r="I112" i="2" s="1"/>
  <c r="M112" i="2"/>
  <c r="H112" i="2" s="1"/>
  <c r="AC111" i="2"/>
  <c r="AB111" i="2"/>
  <c r="V111" i="2"/>
  <c r="T111" i="2"/>
  <c r="S111" i="2"/>
  <c r="R111" i="2"/>
  <c r="Q111" i="2"/>
  <c r="L111" i="2" s="1"/>
  <c r="G111" i="2" s="1"/>
  <c r="P111" i="2"/>
  <c r="K111" i="2" s="1"/>
  <c r="F111" i="2" s="1"/>
  <c r="O111" i="2"/>
  <c r="J111" i="2" s="1"/>
  <c r="N111" i="2"/>
  <c r="I111" i="2" s="1"/>
  <c r="M111" i="2"/>
  <c r="H111" i="2" s="1"/>
  <c r="AC110" i="2"/>
  <c r="AB110" i="2"/>
  <c r="V110" i="2"/>
  <c r="T110" i="2"/>
  <c r="S110" i="2"/>
  <c r="R110" i="2"/>
  <c r="Q110" i="2"/>
  <c r="L110" i="2" s="1"/>
  <c r="G110" i="2" s="1"/>
  <c r="P110" i="2"/>
  <c r="K110" i="2" s="1"/>
  <c r="F110" i="2" s="1"/>
  <c r="O110" i="2"/>
  <c r="J110" i="2" s="1"/>
  <c r="N110" i="2"/>
  <c r="I110" i="2" s="1"/>
  <c r="M110" i="2"/>
  <c r="H110" i="2" s="1"/>
  <c r="AC109" i="2"/>
  <c r="AB109" i="2"/>
  <c r="V109" i="2"/>
  <c r="T109" i="2"/>
  <c r="S109" i="2"/>
  <c r="R109" i="2"/>
  <c r="Q109" i="2"/>
  <c r="L109" i="2" s="1"/>
  <c r="G109" i="2" s="1"/>
  <c r="P109" i="2"/>
  <c r="K109" i="2" s="1"/>
  <c r="F109" i="2" s="1"/>
  <c r="O109" i="2"/>
  <c r="J109" i="2" s="1"/>
  <c r="N109" i="2"/>
  <c r="I109" i="2" s="1"/>
  <c r="M109" i="2"/>
  <c r="H109" i="2" s="1"/>
  <c r="AC108" i="2"/>
  <c r="AB108" i="2"/>
  <c r="V108" i="2"/>
  <c r="T108" i="2"/>
  <c r="S108" i="2"/>
  <c r="R108" i="2"/>
  <c r="Q108" i="2"/>
  <c r="L108" i="2" s="1"/>
  <c r="G108" i="2" s="1"/>
  <c r="P108" i="2"/>
  <c r="K108" i="2" s="1"/>
  <c r="F108" i="2" s="1"/>
  <c r="U108" i="2" s="1"/>
  <c r="O108" i="2"/>
  <c r="J108" i="2" s="1"/>
  <c r="N108" i="2"/>
  <c r="I108" i="2" s="1"/>
  <c r="M108" i="2"/>
  <c r="H108" i="2" s="1"/>
  <c r="E11" i="11"/>
  <c r="X107" i="2"/>
  <c r="W107" i="2"/>
  <c r="V107" i="2"/>
  <c r="Y106" i="2"/>
  <c r="O106" i="2"/>
  <c r="L106" i="2"/>
  <c r="H106" i="2"/>
  <c r="F106" i="2"/>
  <c r="Y105" i="2"/>
  <c r="Z105" i="2" s="1"/>
  <c r="AB105" i="2" s="1"/>
  <c r="O105" i="2"/>
  <c r="L105" i="2"/>
  <c r="H105" i="2"/>
  <c r="F105" i="2"/>
  <c r="Y104" i="2"/>
  <c r="Z104" i="2" s="1"/>
  <c r="O104" i="2"/>
  <c r="L104" i="2"/>
  <c r="H104" i="2"/>
  <c r="F104" i="2"/>
  <c r="Y103" i="2"/>
  <c r="Z103" i="2" s="1"/>
  <c r="O103" i="2"/>
  <c r="L103" i="2"/>
  <c r="H103" i="2"/>
  <c r="F103" i="2"/>
  <c r="Y102" i="2"/>
  <c r="Z102" i="2" s="1"/>
  <c r="T102" i="2"/>
  <c r="U102" i="2" s="1"/>
  <c r="O102" i="2"/>
  <c r="L102" i="2"/>
  <c r="H102" i="2"/>
  <c r="AC101" i="2"/>
  <c r="AB101" i="2"/>
  <c r="S101" i="2"/>
  <c r="S107" i="2" s="1"/>
  <c r="R101" i="2"/>
  <c r="R107" i="2" s="1"/>
  <c r="Q101" i="2"/>
  <c r="Q107" i="2" s="1"/>
  <c r="P101" i="2"/>
  <c r="P107" i="2" s="1"/>
  <c r="N101" i="2"/>
  <c r="N107" i="2" s="1"/>
  <c r="M101" i="2"/>
  <c r="K101" i="2"/>
  <c r="K107" i="2" s="1"/>
  <c r="F101" i="2"/>
  <c r="Y100" i="2"/>
  <c r="Z100" i="2" s="1"/>
  <c r="O100" i="2"/>
  <c r="L100" i="2"/>
  <c r="H100" i="2"/>
  <c r="F100" i="2"/>
  <c r="T100" i="2" s="1"/>
  <c r="Y99" i="2"/>
  <c r="Z99" i="2" s="1"/>
  <c r="O99" i="2"/>
  <c r="L99" i="2"/>
  <c r="H99" i="2"/>
  <c r="F99" i="2"/>
  <c r="Y98" i="2"/>
  <c r="Z98" i="2" s="1"/>
  <c r="O98" i="2"/>
  <c r="L98" i="2"/>
  <c r="H98" i="2"/>
  <c r="F98" i="2"/>
  <c r="Y97" i="2"/>
  <c r="N97" i="2"/>
  <c r="O97" i="2" s="1"/>
  <c r="K97" i="2"/>
  <c r="H97" i="2"/>
  <c r="Y96" i="2"/>
  <c r="Z96" i="2" s="1"/>
  <c r="AB96" i="2" s="1"/>
  <c r="O96" i="2"/>
  <c r="L96" i="2"/>
  <c r="H96" i="2"/>
  <c r="F96" i="2"/>
  <c r="Y95" i="2"/>
  <c r="Z95" i="2" s="1"/>
  <c r="N95" i="2"/>
  <c r="K95" i="2"/>
  <c r="L95" i="2" s="1"/>
  <c r="H95" i="2"/>
  <c r="X93" i="2"/>
  <c r="W93" i="2"/>
  <c r="V93" i="2"/>
  <c r="Y92" i="2"/>
  <c r="Z92" i="2" s="1"/>
  <c r="AB92" i="2" s="1"/>
  <c r="O92" i="2"/>
  <c r="L92" i="2"/>
  <c r="H92" i="2"/>
  <c r="F92" i="2"/>
  <c r="Y91" i="2"/>
  <c r="Z91" i="2" s="1"/>
  <c r="AB91" i="2" s="1"/>
  <c r="O91" i="2"/>
  <c r="L91" i="2"/>
  <c r="H91" i="2"/>
  <c r="F91" i="2"/>
  <c r="Y90" i="2"/>
  <c r="Z90" i="2" s="1"/>
  <c r="AC90" i="2" s="1"/>
  <c r="T90" i="2"/>
  <c r="U90" i="2" s="1"/>
  <c r="O90" i="2"/>
  <c r="L90" i="2"/>
  <c r="H90" i="2"/>
  <c r="Y89" i="2"/>
  <c r="Z89" i="2" s="1"/>
  <c r="AC89" i="2" s="1"/>
  <c r="O89" i="2"/>
  <c r="L89" i="2"/>
  <c r="H89" i="2"/>
  <c r="F89" i="2"/>
  <c r="F87" i="2" s="1"/>
  <c r="T87" i="2" s="1"/>
  <c r="Y88" i="2"/>
  <c r="Z88" i="2" s="1"/>
  <c r="AB88" i="2" s="1"/>
  <c r="T88" i="2"/>
  <c r="U88" i="2" s="1"/>
  <c r="O88" i="2"/>
  <c r="L88" i="2"/>
  <c r="H88" i="2"/>
  <c r="AC87" i="2"/>
  <c r="AB87" i="2"/>
  <c r="S87" i="2"/>
  <c r="S93" i="2" s="1"/>
  <c r="R87" i="2"/>
  <c r="R93" i="2" s="1"/>
  <c r="Q87" i="2"/>
  <c r="Q93" i="2" s="1"/>
  <c r="P87" i="2"/>
  <c r="P93" i="2" s="1"/>
  <c r="N87" i="2"/>
  <c r="N93" i="2" s="1"/>
  <c r="M87" i="2"/>
  <c r="M93" i="2" s="1"/>
  <c r="K87" i="2"/>
  <c r="K93" i="2" s="1"/>
  <c r="AC86" i="2"/>
  <c r="AB86" i="2"/>
  <c r="T86" i="2"/>
  <c r="U86" i="2" s="1"/>
  <c r="L86" i="2"/>
  <c r="G86" i="2" s="1"/>
  <c r="H86" i="2"/>
  <c r="Y85" i="2"/>
  <c r="Z85" i="2" s="1"/>
  <c r="AC85" i="2" s="1"/>
  <c r="O85" i="2"/>
  <c r="L85" i="2"/>
  <c r="H85" i="2"/>
  <c r="F85" i="2"/>
  <c r="T85" i="2" s="1"/>
  <c r="Y84" i="2"/>
  <c r="O84" i="2"/>
  <c r="L84" i="2"/>
  <c r="H84" i="2"/>
  <c r="F84" i="2"/>
  <c r="T84" i="2" s="1"/>
  <c r="AC83" i="2"/>
  <c r="AB83" i="2"/>
  <c r="O83" i="2"/>
  <c r="L83" i="2"/>
  <c r="H83" i="2"/>
  <c r="AC82" i="2"/>
  <c r="W82" i="2"/>
  <c r="S82" i="2"/>
  <c r="R82" i="2"/>
  <c r="Q82" i="2"/>
  <c r="P82" i="2"/>
  <c r="N82" i="2"/>
  <c r="M82" i="2"/>
  <c r="K82" i="2"/>
  <c r="Y81" i="2"/>
  <c r="Z81" i="2" s="1"/>
  <c r="AC81" i="2" s="1"/>
  <c r="O81" i="2"/>
  <c r="L81" i="2"/>
  <c r="H81" i="2"/>
  <c r="F81" i="2"/>
  <c r="Y80" i="2"/>
  <c r="Z80" i="2" s="1"/>
  <c r="AC80" i="2" s="1"/>
  <c r="T80" i="2"/>
  <c r="U80" i="2" s="1"/>
  <c r="O80" i="2"/>
  <c r="L80" i="2"/>
  <c r="H80" i="2"/>
  <c r="X79" i="2"/>
  <c r="W79" i="2"/>
  <c r="V79" i="2"/>
  <c r="Y78" i="2"/>
  <c r="Z78" i="2" s="1"/>
  <c r="T78" i="2"/>
  <c r="U78" i="2" s="1"/>
  <c r="O78" i="2"/>
  <c r="M78" i="2"/>
  <c r="H78" i="2" s="1"/>
  <c r="L78" i="2"/>
  <c r="Y75" i="2"/>
  <c r="Z75" i="2" s="1"/>
  <c r="O75" i="2"/>
  <c r="L75" i="2"/>
  <c r="H75" i="2"/>
  <c r="F75" i="2"/>
  <c r="Y74" i="2"/>
  <c r="Z74" i="2" s="1"/>
  <c r="O74" i="2"/>
  <c r="L74" i="2"/>
  <c r="H74" i="2"/>
  <c r="F74" i="2"/>
  <c r="T74" i="2" s="1"/>
  <c r="Y73" i="2"/>
  <c r="Z73" i="2" s="1"/>
  <c r="O73" i="2"/>
  <c r="L73" i="2"/>
  <c r="H73" i="2"/>
  <c r="F73" i="2"/>
  <c r="T73" i="2" s="1"/>
  <c r="Y72" i="2"/>
  <c r="Z72" i="2" s="1"/>
  <c r="O72" i="2"/>
  <c r="L72" i="2"/>
  <c r="H72" i="2"/>
  <c r="F72" i="2"/>
  <c r="T72" i="2" s="1"/>
  <c r="AB71" i="2"/>
  <c r="S71" i="2"/>
  <c r="R71" i="2"/>
  <c r="Q71" i="2"/>
  <c r="P71" i="2"/>
  <c r="N71" i="2"/>
  <c r="K71" i="2"/>
  <c r="F71" i="2"/>
  <c r="T71" i="2" s="1"/>
  <c r="U71" i="2" s="1"/>
  <c r="Y70" i="2"/>
  <c r="Z70" i="2" s="1"/>
  <c r="O70" i="2"/>
  <c r="L70" i="2"/>
  <c r="H70" i="2"/>
  <c r="F70" i="2"/>
  <c r="T70" i="2" s="1"/>
  <c r="U70" i="2" s="1"/>
  <c r="Y69" i="2"/>
  <c r="Z69" i="2" s="1"/>
  <c r="T69" i="2"/>
  <c r="U69" i="2" s="1"/>
  <c r="O69" i="2"/>
  <c r="L69" i="2"/>
  <c r="H69" i="2"/>
  <c r="Y68" i="2"/>
  <c r="Z68" i="2" s="1"/>
  <c r="O68" i="2"/>
  <c r="L68" i="2"/>
  <c r="H68" i="2"/>
  <c r="F68" i="2"/>
  <c r="T68" i="2" s="1"/>
  <c r="AC67" i="2"/>
  <c r="AB67" i="2"/>
  <c r="S67" i="2"/>
  <c r="R67" i="2"/>
  <c r="Q67" i="2"/>
  <c r="P67" i="2"/>
  <c r="N67" i="2"/>
  <c r="M67" i="2"/>
  <c r="K67" i="2"/>
  <c r="AC66" i="2"/>
  <c r="AB66" i="2"/>
  <c r="O66" i="2"/>
  <c r="L66" i="2"/>
  <c r="H66" i="2"/>
  <c r="F66" i="2"/>
  <c r="T66" i="2" s="1"/>
  <c r="U66" i="2" s="1"/>
  <c r="AB65" i="2"/>
  <c r="O65" i="2"/>
  <c r="L65" i="2"/>
  <c r="H65" i="2"/>
  <c r="F65" i="2"/>
  <c r="T65" i="2" s="1"/>
  <c r="Y64" i="2"/>
  <c r="O64" i="2"/>
  <c r="L64" i="2"/>
  <c r="H64" i="2"/>
  <c r="F64" i="2"/>
  <c r="T64" i="2" s="1"/>
  <c r="Y63" i="2"/>
  <c r="Z63" i="2" s="1"/>
  <c r="AC63" i="2" s="1"/>
  <c r="O63" i="2"/>
  <c r="O62" i="2" s="1"/>
  <c r="L63" i="2"/>
  <c r="L62" i="2" s="1"/>
  <c r="H63" i="2"/>
  <c r="F63" i="2"/>
  <c r="T63" i="2" s="1"/>
  <c r="U63" i="2" s="1"/>
  <c r="Y62" i="2"/>
  <c r="Z62" i="2" s="1"/>
  <c r="AB62" i="2" s="1"/>
  <c r="S62" i="2"/>
  <c r="R62" i="2"/>
  <c r="Q62" i="2"/>
  <c r="P62" i="2"/>
  <c r="N62" i="2"/>
  <c r="M62" i="2"/>
  <c r="K62" i="2"/>
  <c r="I62" i="2"/>
  <c r="Y61" i="2"/>
  <c r="Z61" i="2" s="1"/>
  <c r="T61" i="2"/>
  <c r="U61" i="2" s="1"/>
  <c r="O61" i="2"/>
  <c r="L61" i="2"/>
  <c r="H61" i="2"/>
  <c r="Y60" i="2"/>
  <c r="Z60" i="2" s="1"/>
  <c r="T60" i="2"/>
  <c r="U60" i="2" s="1"/>
  <c r="O60" i="2"/>
  <c r="L60" i="2"/>
  <c r="H60" i="2"/>
  <c r="Y59" i="2"/>
  <c r="Z59" i="2" s="1"/>
  <c r="T59" i="2"/>
  <c r="U59" i="2" s="1"/>
  <c r="O59" i="2"/>
  <c r="L59" i="2"/>
  <c r="H59" i="2"/>
  <c r="AC58" i="2"/>
  <c r="AB58" i="2"/>
  <c r="S58" i="2"/>
  <c r="R58" i="2"/>
  <c r="Q58" i="2"/>
  <c r="P58" i="2"/>
  <c r="N58" i="2"/>
  <c r="M58" i="2"/>
  <c r="K58" i="2"/>
  <c r="F58" i="2"/>
  <c r="T58" i="2" s="1"/>
  <c r="U58" i="2" s="1"/>
  <c r="X57" i="2"/>
  <c r="W57" i="2"/>
  <c r="V57" i="2"/>
  <c r="Y56" i="2"/>
  <c r="Z56" i="2" s="1"/>
  <c r="O56" i="2"/>
  <c r="L56" i="2"/>
  <c r="H56" i="2"/>
  <c r="F56" i="2"/>
  <c r="Y55" i="2"/>
  <c r="Z55" i="2" s="1"/>
  <c r="O55" i="2"/>
  <c r="L55" i="2"/>
  <c r="H55" i="2"/>
  <c r="F55" i="2"/>
  <c r="Y54" i="2"/>
  <c r="Z54" i="2" s="1"/>
  <c r="O54" i="2"/>
  <c r="L54" i="2"/>
  <c r="H54" i="2"/>
  <c r="F54" i="2"/>
  <c r="AC53" i="2"/>
  <c r="AB53" i="2"/>
  <c r="S53" i="2"/>
  <c r="R53" i="2"/>
  <c r="Q53" i="2"/>
  <c r="P53" i="2"/>
  <c r="N53" i="2"/>
  <c r="M53" i="2"/>
  <c r="K53" i="2"/>
  <c r="Y50" i="2"/>
  <c r="Z50" i="2" s="1"/>
  <c r="T50" i="2"/>
  <c r="U50" i="2" s="1"/>
  <c r="L50" i="2"/>
  <c r="H50" i="2"/>
  <c r="Y46" i="2"/>
  <c r="Z46" i="2" s="1"/>
  <c r="O46" i="2"/>
  <c r="O45" i="2" s="1"/>
  <c r="L46" i="2"/>
  <c r="H46" i="2"/>
  <c r="F46" i="2"/>
  <c r="T46" i="2" s="1"/>
  <c r="U46" i="2" s="1"/>
  <c r="AC45" i="2"/>
  <c r="AB45" i="2"/>
  <c r="S45" i="2"/>
  <c r="R45" i="2"/>
  <c r="Q45" i="2"/>
  <c r="P45" i="2"/>
  <c r="N45" i="2"/>
  <c r="M45" i="2"/>
  <c r="K45" i="2"/>
  <c r="Y44" i="2"/>
  <c r="X44" i="2"/>
  <c r="W44" i="2"/>
  <c r="V44" i="2"/>
  <c r="Y42" i="2"/>
  <c r="Z42" i="2" s="1"/>
  <c r="O42" i="2"/>
  <c r="L42" i="2"/>
  <c r="H42" i="2"/>
  <c r="F42" i="2"/>
  <c r="T42" i="2" s="1"/>
  <c r="Y41" i="2"/>
  <c r="Z41" i="2" s="1"/>
  <c r="O41" i="2"/>
  <c r="L41" i="2"/>
  <c r="H41" i="2"/>
  <c r="F41" i="2"/>
  <c r="Y40" i="2"/>
  <c r="Z40" i="2" s="1"/>
  <c r="O40" i="2"/>
  <c r="L40" i="2"/>
  <c r="H40" i="2"/>
  <c r="F40" i="2"/>
  <c r="Y36" i="2"/>
  <c r="Z36" i="2" s="1"/>
  <c r="O36" i="2"/>
  <c r="L36" i="2"/>
  <c r="H36" i="2"/>
  <c r="F36" i="2"/>
  <c r="T36" i="2" s="1"/>
  <c r="Y35" i="2"/>
  <c r="Z35" i="2" s="1"/>
  <c r="R35" i="2"/>
  <c r="R34" i="2" s="1"/>
  <c r="O35" i="2"/>
  <c r="L35" i="2"/>
  <c r="H35" i="2"/>
  <c r="F35" i="2"/>
  <c r="AC34" i="2"/>
  <c r="AB34" i="2"/>
  <c r="S34" i="2"/>
  <c r="Q34" i="2"/>
  <c r="P34" i="2"/>
  <c r="N34" i="2"/>
  <c r="M34" i="2"/>
  <c r="K34" i="2"/>
  <c r="Y33" i="2"/>
  <c r="Z33" i="2" s="1"/>
  <c r="AB33" i="2" s="1"/>
  <c r="H33" i="2"/>
  <c r="G33" i="2"/>
  <c r="F33" i="2"/>
  <c r="T33" i="2" s="1"/>
  <c r="U33" i="2" s="1"/>
  <c r="Y32" i="2"/>
  <c r="Z32" i="2" s="1"/>
  <c r="AB32" i="2" s="1"/>
  <c r="O32" i="2"/>
  <c r="L32" i="2"/>
  <c r="H32" i="2"/>
  <c r="F32" i="2"/>
  <c r="T32" i="2" s="1"/>
  <c r="U32" i="2" s="1"/>
  <c r="Y31" i="2"/>
  <c r="Z31" i="2" s="1"/>
  <c r="AB31" i="2" s="1"/>
  <c r="O31" i="2"/>
  <c r="L31" i="2"/>
  <c r="H31" i="2"/>
  <c r="F31" i="2"/>
  <c r="T31" i="2" s="1"/>
  <c r="U31" i="2" s="1"/>
  <c r="Y30" i="2"/>
  <c r="Z30" i="2" s="1"/>
  <c r="AB30" i="2" s="1"/>
  <c r="O30" i="2"/>
  <c r="L30" i="2"/>
  <c r="H30" i="2"/>
  <c r="F30" i="2"/>
  <c r="T30" i="2" s="1"/>
  <c r="U30" i="2" s="1"/>
  <c r="Y29" i="2"/>
  <c r="Z29" i="2" s="1"/>
  <c r="AB29" i="2" s="1"/>
  <c r="O29" i="2"/>
  <c r="L29" i="2"/>
  <c r="H29" i="2"/>
  <c r="F29" i="2"/>
  <c r="AC28" i="2"/>
  <c r="AB28" i="2"/>
  <c r="S28" i="2"/>
  <c r="R28" i="2"/>
  <c r="Q28" i="2"/>
  <c r="P28" i="2"/>
  <c r="N28" i="2"/>
  <c r="M28" i="2"/>
  <c r="K28" i="2"/>
  <c r="H26" i="2"/>
  <c r="G26" i="2"/>
  <c r="F26" i="2"/>
  <c r="U26" i="2" s="1"/>
  <c r="AA24" i="2"/>
  <c r="AA25" i="2" s="1"/>
  <c r="AA27" i="2" s="1"/>
  <c r="X24" i="2"/>
  <c r="W24" i="2"/>
  <c r="V24" i="2"/>
  <c r="V25" i="2" s="1"/>
  <c r="V27" i="2" s="1"/>
  <c r="S24" i="2"/>
  <c r="R24" i="2"/>
  <c r="Q24" i="2"/>
  <c r="P24" i="2"/>
  <c r="N24" i="2"/>
  <c r="M24" i="2"/>
  <c r="K24" i="2"/>
  <c r="AC23" i="2"/>
  <c r="AB23" i="2"/>
  <c r="T23" i="2"/>
  <c r="U23" i="2" s="1"/>
  <c r="L23" i="2"/>
  <c r="G23" i="2" s="1"/>
  <c r="H23" i="2"/>
  <c r="AB22" i="2"/>
  <c r="O22" i="2"/>
  <c r="L22" i="2"/>
  <c r="H22" i="2"/>
  <c r="F22" i="2"/>
  <c r="Y21" i="2"/>
  <c r="O21" i="2"/>
  <c r="L21" i="2"/>
  <c r="H21" i="2"/>
  <c r="F21" i="2"/>
  <c r="X20" i="2"/>
  <c r="W20" i="2"/>
  <c r="S20" i="2"/>
  <c r="R20" i="2"/>
  <c r="Q20" i="2"/>
  <c r="P20" i="2"/>
  <c r="N20" i="2"/>
  <c r="M20" i="2"/>
  <c r="K20" i="2"/>
  <c r="AB19" i="2"/>
  <c r="T19" i="2"/>
  <c r="U19" i="2" s="1"/>
  <c r="O19" i="2"/>
  <c r="L19" i="2"/>
  <c r="H19" i="2"/>
  <c r="Y18" i="2"/>
  <c r="Z18" i="2" s="1"/>
  <c r="AB18" i="2" s="1"/>
  <c r="O18" i="2"/>
  <c r="L18" i="2"/>
  <c r="H18" i="2"/>
  <c r="F18" i="2"/>
  <c r="Y17" i="2"/>
  <c r="Z17" i="2" s="1"/>
  <c r="AB17" i="2" s="1"/>
  <c r="O17" i="2"/>
  <c r="L17" i="2"/>
  <c r="H17" i="2"/>
  <c r="F17" i="2"/>
  <c r="T17" i="2" s="1"/>
  <c r="U17" i="2" s="1"/>
  <c r="AC16" i="2"/>
  <c r="AB16" i="2"/>
  <c r="L16" i="2"/>
  <c r="G16" i="2" s="1"/>
  <c r="H16" i="2"/>
  <c r="F16" i="2"/>
  <c r="T16" i="2" s="1"/>
  <c r="U16" i="2" s="1"/>
  <c r="AC15" i="2"/>
  <c r="AB15" i="2"/>
  <c r="L15" i="2"/>
  <c r="G15" i="2" s="1"/>
  <c r="H15" i="2"/>
  <c r="F15" i="2"/>
  <c r="T15" i="2" s="1"/>
  <c r="U15" i="2" s="1"/>
  <c r="AC14" i="2"/>
  <c r="AB14" i="2"/>
  <c r="O14" i="2"/>
  <c r="L14" i="2"/>
  <c r="H14" i="2"/>
  <c r="F14" i="2"/>
  <c r="L13" i="2"/>
  <c r="G13" i="2" s="1"/>
  <c r="H13" i="2"/>
  <c r="F13" i="2"/>
  <c r="T13" i="2" s="1"/>
  <c r="U13" i="2" s="1"/>
  <c r="AC12" i="2"/>
  <c r="AB12" i="2"/>
  <c r="O12" i="2"/>
  <c r="L12" i="2"/>
  <c r="H12" i="2"/>
  <c r="F12" i="2"/>
  <c r="T12" i="2" s="1"/>
  <c r="Y11" i="2"/>
  <c r="Z11" i="2" s="1"/>
  <c r="AB11" i="2" s="1"/>
  <c r="O11" i="2"/>
  <c r="L11" i="2"/>
  <c r="H11" i="2"/>
  <c r="F11" i="2"/>
  <c r="Y10" i="2"/>
  <c r="Z10" i="2" s="1"/>
  <c r="AB10" i="2" s="1"/>
  <c r="T10" i="2"/>
  <c r="U10" i="2" s="1"/>
  <c r="O10" i="2"/>
  <c r="L10" i="2"/>
  <c r="H10" i="2"/>
  <c r="Y9" i="2"/>
  <c r="Z9" i="2" s="1"/>
  <c r="AB9" i="2" s="1"/>
  <c r="O9" i="2"/>
  <c r="L9" i="2"/>
  <c r="H9" i="2"/>
  <c r="F9" i="2"/>
  <c r="T9" i="2" s="1"/>
  <c r="U9" i="2" s="1"/>
  <c r="Y8" i="2"/>
  <c r="O8" i="2"/>
  <c r="L8" i="2"/>
  <c r="H8" i="2"/>
  <c r="F8" i="2"/>
  <c r="AB7" i="2"/>
  <c r="T7" i="2"/>
  <c r="U7" i="2" s="1"/>
  <c r="H7" i="2"/>
  <c r="G7" i="2"/>
  <c r="AD118" i="16"/>
  <c r="AM117" i="16"/>
  <c r="AE117" i="16"/>
  <c r="U117" i="16"/>
  <c r="O117" i="16"/>
  <c r="P117" i="16" s="1"/>
  <c r="K117" i="16"/>
  <c r="F117" i="16"/>
  <c r="AM116" i="16"/>
  <c r="AG116" i="16"/>
  <c r="AH116" i="16" s="1"/>
  <c r="T116" i="16"/>
  <c r="P116" i="16"/>
  <c r="N116" i="16"/>
  <c r="N114" i="16" s="1"/>
  <c r="N118" i="16" s="1"/>
  <c r="K116" i="16"/>
  <c r="L116" i="16" s="1"/>
  <c r="L114" i="16" s="1"/>
  <c r="L118" i="16" s="1"/>
  <c r="E116" i="16"/>
  <c r="F116" i="16" s="1"/>
  <c r="AM115" i="16"/>
  <c r="AN115" i="16" s="1"/>
  <c r="AG115" i="16"/>
  <c r="AH115" i="16" s="1"/>
  <c r="U115" i="16"/>
  <c r="Y115" i="16"/>
  <c r="AB115" i="16" s="1"/>
  <c r="K115" i="16"/>
  <c r="F115" i="16"/>
  <c r="AA114" i="16"/>
  <c r="AA118" i="16" s="1"/>
  <c r="Z114" i="16"/>
  <c r="Z118" i="16" s="1"/>
  <c r="W114" i="16"/>
  <c r="W118" i="16" s="1"/>
  <c r="M114" i="16"/>
  <c r="J114" i="16"/>
  <c r="J118" i="16" s="1"/>
  <c r="H114" i="16"/>
  <c r="H118" i="16" s="1"/>
  <c r="G114" i="16"/>
  <c r="G118" i="16" s="1"/>
  <c r="D114" i="16"/>
  <c r="D118" i="16" s="1"/>
  <c r="AG113" i="16"/>
  <c r="AE113" i="16"/>
  <c r="Y113" i="16"/>
  <c r="U113" i="16"/>
  <c r="P113" i="16"/>
  <c r="K113" i="16"/>
  <c r="F113" i="16"/>
  <c r="AM112" i="16"/>
  <c r="AG112" i="16"/>
  <c r="AH112" i="16" s="1"/>
  <c r="AE112" i="16"/>
  <c r="Y112" i="16"/>
  <c r="AB112" i="16" s="1"/>
  <c r="AC112" i="16" s="1"/>
  <c r="U112" i="16"/>
  <c r="P112" i="16"/>
  <c r="K112" i="16"/>
  <c r="F112" i="16"/>
  <c r="AM111" i="16"/>
  <c r="AG111" i="16"/>
  <c r="AH111" i="16" s="1"/>
  <c r="AE111" i="16"/>
  <c r="Y111" i="16"/>
  <c r="AB111" i="16" s="1"/>
  <c r="AC111" i="16" s="1"/>
  <c r="U111" i="16"/>
  <c r="P111" i="16"/>
  <c r="K111" i="16"/>
  <c r="F111" i="16"/>
  <c r="AM110" i="16"/>
  <c r="AG110" i="16"/>
  <c r="AH110" i="16" s="1"/>
  <c r="AE110" i="16"/>
  <c r="Y110" i="16"/>
  <c r="AM109" i="16"/>
  <c r="AG109" i="16"/>
  <c r="AH109" i="16" s="1"/>
  <c r="AE109" i="16"/>
  <c r="AB109" i="16"/>
  <c r="AC109" i="16" s="1"/>
  <c r="AM107" i="16"/>
  <c r="J12" i="11" s="1"/>
  <c r="AA107" i="16"/>
  <c r="Z107" i="16"/>
  <c r="Y107" i="16"/>
  <c r="AB107" i="16" s="1"/>
  <c r="X107" i="16"/>
  <c r="V107" i="16"/>
  <c r="U107" i="16"/>
  <c r="T107" i="16"/>
  <c r="S107" i="16"/>
  <c r="R107" i="16"/>
  <c r="AG107" i="16" s="1"/>
  <c r="Q107" i="16"/>
  <c r="P107" i="16"/>
  <c r="O107" i="16"/>
  <c r="N107" i="16"/>
  <c r="L107" i="16"/>
  <c r="K107" i="16"/>
  <c r="J107" i="16"/>
  <c r="I107" i="16"/>
  <c r="G107" i="16"/>
  <c r="F107" i="16"/>
  <c r="E107" i="16"/>
  <c r="D107" i="16"/>
  <c r="AM106" i="16"/>
  <c r="AG106" i="16"/>
  <c r="AH106" i="16" s="1"/>
  <c r="AE106" i="16"/>
  <c r="AB106" i="16"/>
  <c r="AC106" i="16" s="1"/>
  <c r="AM105" i="16"/>
  <c r="AG105" i="16"/>
  <c r="AH105" i="16" s="1"/>
  <c r="AE105" i="16"/>
  <c r="AB105" i="16"/>
  <c r="AC105" i="16" s="1"/>
  <c r="AM104" i="16"/>
  <c r="AG104" i="16"/>
  <c r="AH104" i="16" s="1"/>
  <c r="AE104" i="16"/>
  <c r="AB104" i="16"/>
  <c r="AC104" i="16" s="1"/>
  <c r="AM103" i="16"/>
  <c r="AG103" i="16"/>
  <c r="AH103" i="16" s="1"/>
  <c r="AE103" i="16"/>
  <c r="AB103" i="16"/>
  <c r="AC103" i="16" s="1"/>
  <c r="AK102" i="16"/>
  <c r="AF102" i="16"/>
  <c r="AD102" i="16"/>
  <c r="S102" i="16"/>
  <c r="AM101" i="16"/>
  <c r="AE101" i="16"/>
  <c r="R101" i="16"/>
  <c r="R102" i="16" s="1"/>
  <c r="AG102" i="16" s="1"/>
  <c r="AM100" i="16"/>
  <c r="AN100" i="16" s="1"/>
  <c r="AG100" i="16"/>
  <c r="AH100" i="16" s="1"/>
  <c r="AE100" i="16"/>
  <c r="Y100" i="16"/>
  <c r="AB100" i="16" s="1"/>
  <c r="AC100" i="16" s="1"/>
  <c r="AM99" i="16"/>
  <c r="AN99" i="16" s="1"/>
  <c r="AG99" i="16"/>
  <c r="AH99" i="16" s="1"/>
  <c r="AE99" i="16"/>
  <c r="Y99" i="16"/>
  <c r="AB99" i="16" s="1"/>
  <c r="AC99" i="16" s="1"/>
  <c r="AM98" i="16"/>
  <c r="AN98" i="16" s="1"/>
  <c r="AG98" i="16"/>
  <c r="AH98" i="16" s="1"/>
  <c r="AE98" i="16"/>
  <c r="Y98" i="16"/>
  <c r="AM97" i="16"/>
  <c r="AN97" i="16" s="1"/>
  <c r="AG97" i="16"/>
  <c r="AH97" i="16" s="1"/>
  <c r="AE97" i="16"/>
  <c r="Y97" i="16"/>
  <c r="AM96" i="16"/>
  <c r="AN96" i="16" s="1"/>
  <c r="AG96" i="16"/>
  <c r="AH96" i="16" s="1"/>
  <c r="AE96" i="16"/>
  <c r="Y96" i="16"/>
  <c r="AB96" i="16" s="1"/>
  <c r="AC96" i="16" s="1"/>
  <c r="AM95" i="16"/>
  <c r="AN95" i="16" s="1"/>
  <c r="AG95" i="16"/>
  <c r="AH95" i="16" s="1"/>
  <c r="AE95" i="16"/>
  <c r="Y95" i="16"/>
  <c r="AB95" i="16" s="1"/>
  <c r="AC95" i="16" s="1"/>
  <c r="AM94" i="16"/>
  <c r="AN94" i="16" s="1"/>
  <c r="AG94" i="16"/>
  <c r="AH94" i="16" s="1"/>
  <c r="AE94" i="16"/>
  <c r="Y94" i="16"/>
  <c r="AM93" i="16"/>
  <c r="AN93" i="16" s="1"/>
  <c r="AG93" i="16"/>
  <c r="AH93" i="16" s="1"/>
  <c r="AE93" i="16"/>
  <c r="Y93" i="16"/>
  <c r="AM92" i="16"/>
  <c r="AN92" i="16" s="1"/>
  <c r="AG92" i="16"/>
  <c r="AH92" i="16" s="1"/>
  <c r="AE92" i="16"/>
  <c r="Y92" i="16"/>
  <c r="AM91" i="16"/>
  <c r="AN91" i="16" s="1"/>
  <c r="AG91" i="16"/>
  <c r="AH91" i="16" s="1"/>
  <c r="AE91" i="16"/>
  <c r="Y91" i="16"/>
  <c r="AB91" i="16" s="1"/>
  <c r="AC91" i="16" s="1"/>
  <c r="AM90" i="16"/>
  <c r="AN90" i="16" s="1"/>
  <c r="AG90" i="16"/>
  <c r="AH90" i="16" s="1"/>
  <c r="AE90" i="16"/>
  <c r="Y90" i="16"/>
  <c r="AM89" i="16"/>
  <c r="AN89" i="16" s="1"/>
  <c r="AG89" i="16"/>
  <c r="AH89" i="16" s="1"/>
  <c r="AE89" i="16"/>
  <c r="Y89" i="16"/>
  <c r="AM88" i="16"/>
  <c r="AG88" i="16"/>
  <c r="AA88" i="16"/>
  <c r="AA102" i="16" s="1"/>
  <c r="Z88" i="16"/>
  <c r="Z102" i="16" s="1"/>
  <c r="X88" i="16"/>
  <c r="X102" i="16" s="1"/>
  <c r="V88" i="16"/>
  <c r="V102" i="16" s="1"/>
  <c r="U88" i="16"/>
  <c r="U102" i="16" s="1"/>
  <c r="T88" i="16"/>
  <c r="Q88" i="16"/>
  <c r="Q102" i="16" s="1"/>
  <c r="P88" i="16"/>
  <c r="P102" i="16" s="1"/>
  <c r="O88" i="16"/>
  <c r="O102" i="16" s="1"/>
  <c r="N88" i="16"/>
  <c r="N102" i="16" s="1"/>
  <c r="L88" i="16"/>
  <c r="L102" i="16" s="1"/>
  <c r="K88" i="16"/>
  <c r="K102" i="16" s="1"/>
  <c r="J88" i="16"/>
  <c r="J101" i="16" s="1"/>
  <c r="I88" i="16"/>
  <c r="I102" i="16" s="1"/>
  <c r="G88" i="16"/>
  <c r="G102" i="16" s="1"/>
  <c r="F88" i="16"/>
  <c r="F102" i="16" s="1"/>
  <c r="E88" i="16"/>
  <c r="D88" i="16"/>
  <c r="AM87" i="16"/>
  <c r="AN87" i="16" s="1"/>
  <c r="AG87" i="16"/>
  <c r="AH87" i="16" s="1"/>
  <c r="AE87" i="16"/>
  <c r="Y87" i="16"/>
  <c r="AM86" i="16"/>
  <c r="AN86" i="16" s="1"/>
  <c r="AG86" i="16"/>
  <c r="AH86" i="16" s="1"/>
  <c r="AE86" i="16"/>
  <c r="Y86" i="16"/>
  <c r="AB86" i="16" s="1"/>
  <c r="AC86" i="16" s="1"/>
  <c r="AM85" i="16"/>
  <c r="AN85" i="16" s="1"/>
  <c r="AG85" i="16"/>
  <c r="AH85" i="16" s="1"/>
  <c r="AE85" i="16"/>
  <c r="Y85" i="16"/>
  <c r="AB85" i="16" s="1"/>
  <c r="AC85" i="16" s="1"/>
  <c r="D85" i="16"/>
  <c r="AM84" i="16"/>
  <c r="AG84" i="16"/>
  <c r="AH84" i="16" s="1"/>
  <c r="AE84" i="16"/>
  <c r="Y84" i="16"/>
  <c r="AB84" i="16" s="1"/>
  <c r="AC84" i="16" s="1"/>
  <c r="AM83" i="16"/>
  <c r="AG83" i="16"/>
  <c r="AH83" i="16" s="1"/>
  <c r="AE83" i="16"/>
  <c r="Y83" i="16"/>
  <c r="AL81" i="16"/>
  <c r="AJ81" i="16"/>
  <c r="AI81" i="16"/>
  <c r="AF81" i="16"/>
  <c r="X81" i="16"/>
  <c r="S81" i="16"/>
  <c r="N81" i="16"/>
  <c r="I81" i="16"/>
  <c r="H81" i="16"/>
  <c r="AM80" i="16"/>
  <c r="AG80" i="16"/>
  <c r="AH80" i="16" s="1"/>
  <c r="AE80" i="16"/>
  <c r="Y80" i="16"/>
  <c r="U80" i="16"/>
  <c r="P80" i="16"/>
  <c r="K80" i="16"/>
  <c r="F80" i="16"/>
  <c r="AM79" i="16"/>
  <c r="AG79" i="16"/>
  <c r="AH79" i="16" s="1"/>
  <c r="AE79" i="16"/>
  <c r="Y79" i="16"/>
  <c r="AB79" i="16" s="1"/>
  <c r="AC79" i="16" s="1"/>
  <c r="U79" i="16"/>
  <c r="P79" i="16"/>
  <c r="K79" i="16"/>
  <c r="F79" i="16"/>
  <c r="AM78" i="16"/>
  <c r="AG78" i="16"/>
  <c r="AH78" i="16" s="1"/>
  <c r="AE78" i="16"/>
  <c r="Y78" i="16"/>
  <c r="AB78" i="16" s="1"/>
  <c r="U78" i="16"/>
  <c r="P78" i="16"/>
  <c r="K78" i="16"/>
  <c r="F78" i="16"/>
  <c r="AM77" i="16"/>
  <c r="AG77" i="16"/>
  <c r="AH77" i="16" s="1"/>
  <c r="AE77" i="16"/>
  <c r="Y77" i="16"/>
  <c r="U77" i="16"/>
  <c r="P77" i="16"/>
  <c r="K77" i="16"/>
  <c r="F77" i="16"/>
  <c r="AM76" i="16"/>
  <c r="AG76" i="16"/>
  <c r="AH76" i="16" s="1"/>
  <c r="AE76" i="16"/>
  <c r="Y76" i="16"/>
  <c r="U76" i="16"/>
  <c r="P76" i="16"/>
  <c r="K76" i="16"/>
  <c r="F76" i="16"/>
  <c r="AM75" i="16"/>
  <c r="AG75" i="16"/>
  <c r="AH75" i="16" s="1"/>
  <c r="AE75" i="16"/>
  <c r="V75" i="16"/>
  <c r="V81" i="16" s="1"/>
  <c r="T75" i="16"/>
  <c r="T81" i="16" s="1"/>
  <c r="Q75" i="16"/>
  <c r="Q81" i="16" s="1"/>
  <c r="O75" i="16"/>
  <c r="O81" i="16" s="1"/>
  <c r="L75" i="16"/>
  <c r="L81" i="16" s="1"/>
  <c r="J75" i="16"/>
  <c r="J81" i="16" s="1"/>
  <c r="G75" i="16"/>
  <c r="G81" i="16" s="1"/>
  <c r="E75" i="16"/>
  <c r="E81" i="16" s="1"/>
  <c r="D75" i="16"/>
  <c r="AM74" i="16"/>
  <c r="AG74" i="16"/>
  <c r="AH74" i="16" s="1"/>
  <c r="AE74" i="16"/>
  <c r="Y74" i="16"/>
  <c r="AB74" i="16" s="1"/>
  <c r="U74" i="16"/>
  <c r="P74" i="16"/>
  <c r="K74" i="16"/>
  <c r="F74" i="16"/>
  <c r="AM73" i="16"/>
  <c r="AG73" i="16"/>
  <c r="AH73" i="16" s="1"/>
  <c r="AE73" i="16"/>
  <c r="Y73" i="16"/>
  <c r="AB73" i="16" s="1"/>
  <c r="AC73" i="16" s="1"/>
  <c r="U73" i="16"/>
  <c r="P73" i="16"/>
  <c r="K73" i="16"/>
  <c r="F73" i="16"/>
  <c r="AM72" i="16"/>
  <c r="AG72" i="16"/>
  <c r="AH72" i="16" s="1"/>
  <c r="AE72" i="16"/>
  <c r="Y72" i="16"/>
  <c r="AB72" i="16" s="1"/>
  <c r="U72" i="16"/>
  <c r="P72" i="16"/>
  <c r="K72" i="16"/>
  <c r="F72" i="16"/>
  <c r="AM71" i="16"/>
  <c r="AE71" i="16"/>
  <c r="AD71" i="16"/>
  <c r="AD81" i="16" s="1"/>
  <c r="U71" i="16"/>
  <c r="K71" i="16"/>
  <c r="F71" i="16"/>
  <c r="AM70" i="16"/>
  <c r="AG70" i="16"/>
  <c r="AH70" i="16" s="1"/>
  <c r="X70" i="16"/>
  <c r="V70" i="16"/>
  <c r="T70" i="16"/>
  <c r="S70" i="16"/>
  <c r="Q70" i="16"/>
  <c r="O70" i="16"/>
  <c r="N70" i="16"/>
  <c r="L70" i="16"/>
  <c r="J70" i="16"/>
  <c r="I70" i="16"/>
  <c r="G70" i="16"/>
  <c r="E70" i="16"/>
  <c r="D70" i="16"/>
  <c r="AM69" i="16"/>
  <c r="AN69" i="16" s="1"/>
  <c r="AG69" i="16"/>
  <c r="AH69" i="16" s="1"/>
  <c r="AE69" i="16"/>
  <c r="Y69" i="16"/>
  <c r="U69" i="16"/>
  <c r="P69" i="16"/>
  <c r="K69" i="16"/>
  <c r="K70" i="16" s="1"/>
  <c r="F69" i="16"/>
  <c r="F70" i="16" s="1"/>
  <c r="AM68" i="16"/>
  <c r="AN68" i="16" s="1"/>
  <c r="AG68" i="16"/>
  <c r="AH68" i="16" s="1"/>
  <c r="AE68" i="16"/>
  <c r="Y68" i="16"/>
  <c r="AB68" i="16" s="1"/>
  <c r="U68" i="16"/>
  <c r="P68" i="16"/>
  <c r="AL67" i="16"/>
  <c r="AJ67" i="16"/>
  <c r="AF67" i="16"/>
  <c r="H67" i="16"/>
  <c r="AM66" i="16"/>
  <c r="AG66" i="16"/>
  <c r="AH66" i="16" s="1"/>
  <c r="AE66" i="16"/>
  <c r="Y66" i="16"/>
  <c r="AB66" i="16" s="1"/>
  <c r="U66" i="16"/>
  <c r="K66" i="16"/>
  <c r="F66" i="16"/>
  <c r="AM65" i="16"/>
  <c r="AG65" i="16"/>
  <c r="AH65" i="16" s="1"/>
  <c r="AE65" i="16"/>
  <c r="Y65" i="16"/>
  <c r="U65" i="16"/>
  <c r="P65" i="16"/>
  <c r="K65" i="16"/>
  <c r="F65" i="16"/>
  <c r="AM64" i="16"/>
  <c r="AG64" i="16"/>
  <c r="AH64" i="16" s="1"/>
  <c r="AE64" i="16"/>
  <c r="Y64" i="16"/>
  <c r="U64" i="16"/>
  <c r="P64" i="16"/>
  <c r="K64" i="16"/>
  <c r="F64" i="16"/>
  <c r="AM63" i="16"/>
  <c r="AG63" i="16"/>
  <c r="AH63" i="16" s="1"/>
  <c r="AE63" i="16"/>
  <c r="Y63" i="16"/>
  <c r="AB63" i="16" s="1"/>
  <c r="U63" i="16"/>
  <c r="P63" i="16"/>
  <c r="K63" i="16"/>
  <c r="F63" i="16"/>
  <c r="AM62" i="16"/>
  <c r="AG62" i="16"/>
  <c r="AH62" i="16" s="1"/>
  <c r="AE62" i="16"/>
  <c r="Y62" i="16"/>
  <c r="AB62" i="16" s="1"/>
  <c r="AC62" i="16" s="1"/>
  <c r="U62" i="16"/>
  <c r="Q62" i="16"/>
  <c r="Q61" i="16" s="1"/>
  <c r="K62" i="16"/>
  <c r="F62" i="16"/>
  <c r="AM61" i="16"/>
  <c r="AG61" i="16"/>
  <c r="AE61" i="16"/>
  <c r="AD61" i="16"/>
  <c r="AD67" i="16" s="1"/>
  <c r="V61" i="16"/>
  <c r="T61" i="16"/>
  <c r="O61" i="16"/>
  <c r="L61" i="16"/>
  <c r="J61" i="16"/>
  <c r="G61" i="16"/>
  <c r="E61" i="16"/>
  <c r="D61" i="16"/>
  <c r="AM60" i="16"/>
  <c r="AG60" i="16"/>
  <c r="AH60" i="16" s="1"/>
  <c r="AE60" i="16"/>
  <c r="Y60" i="16"/>
  <c r="U60" i="16"/>
  <c r="P60" i="16"/>
  <c r="K60" i="16"/>
  <c r="F60" i="16"/>
  <c r="AM59" i="16"/>
  <c r="AG59" i="16"/>
  <c r="AH59" i="16" s="1"/>
  <c r="AE59" i="16"/>
  <c r="Y59" i="16"/>
  <c r="AB59" i="16" s="1"/>
  <c r="AC59" i="16" s="1"/>
  <c r="U59" i="16"/>
  <c r="P59" i="16"/>
  <c r="K59" i="16"/>
  <c r="AM58" i="16"/>
  <c r="AG58" i="16"/>
  <c r="AH58" i="16" s="1"/>
  <c r="AE58" i="16"/>
  <c r="Y58" i="16"/>
  <c r="AB58" i="16" s="1"/>
  <c r="U58" i="16"/>
  <c r="P58" i="16"/>
  <c r="K58" i="16"/>
  <c r="F58" i="16"/>
  <c r="AM57" i="16"/>
  <c r="AG57" i="16"/>
  <c r="X57" i="16"/>
  <c r="X67" i="16" s="1"/>
  <c r="V57" i="16"/>
  <c r="T57" i="16"/>
  <c r="S57" i="16"/>
  <c r="S67" i="16" s="1"/>
  <c r="Q57" i="16"/>
  <c r="O57" i="16"/>
  <c r="N57" i="16"/>
  <c r="N67" i="16" s="1"/>
  <c r="L57" i="16"/>
  <c r="J57" i="16"/>
  <c r="I57" i="16"/>
  <c r="I67" i="16" s="1"/>
  <c r="G57" i="16"/>
  <c r="E57" i="16"/>
  <c r="D57" i="16"/>
  <c r="AM56" i="16"/>
  <c r="AG56" i="16"/>
  <c r="AH56" i="16" s="1"/>
  <c r="AE56" i="16"/>
  <c r="Y56" i="16"/>
  <c r="AB56" i="16" s="1"/>
  <c r="AC56" i="16" s="1"/>
  <c r="U56" i="16"/>
  <c r="P56" i="16"/>
  <c r="K56" i="16"/>
  <c r="F56" i="16"/>
  <c r="AM55" i="16"/>
  <c r="AE55" i="16"/>
  <c r="Y55" i="16"/>
  <c r="U55" i="16"/>
  <c r="R67" i="16"/>
  <c r="K55" i="16"/>
  <c r="F55" i="16"/>
  <c r="AM54" i="16"/>
  <c r="AG54" i="16"/>
  <c r="AH54" i="16" s="1"/>
  <c r="AE54" i="16"/>
  <c r="Y54" i="16"/>
  <c r="U54" i="16"/>
  <c r="P54" i="16"/>
  <c r="K54" i="16"/>
  <c r="F54" i="16"/>
  <c r="AM53" i="16"/>
  <c r="AG53" i="16"/>
  <c r="AH53" i="16" s="1"/>
  <c r="AE53" i="16"/>
  <c r="Y53" i="16"/>
  <c r="AB53" i="16" s="1"/>
  <c r="AC53" i="16" s="1"/>
  <c r="U53" i="16"/>
  <c r="U52" i="16" s="1"/>
  <c r="P53" i="16"/>
  <c r="P52" i="16" s="1"/>
  <c r="K53" i="16"/>
  <c r="K52" i="16" s="1"/>
  <c r="F53" i="16"/>
  <c r="F52" i="16" s="1"/>
  <c r="AM52" i="16"/>
  <c r="AG52" i="16"/>
  <c r="AH52" i="16" s="1"/>
  <c r="AE52" i="16"/>
  <c r="V52" i="16"/>
  <c r="T52" i="16"/>
  <c r="Q52" i="16"/>
  <c r="O52" i="16"/>
  <c r="L52" i="16"/>
  <c r="J52" i="16"/>
  <c r="G52" i="16"/>
  <c r="E52" i="16"/>
  <c r="D52" i="16"/>
  <c r="AM51" i="16"/>
  <c r="AG51" i="16"/>
  <c r="AH51" i="16" s="1"/>
  <c r="AE51" i="16"/>
  <c r="Y51" i="16"/>
  <c r="AB51" i="16" s="1"/>
  <c r="AC51" i="16" s="1"/>
  <c r="U51" i="16"/>
  <c r="K51" i="16"/>
  <c r="F51" i="16"/>
  <c r="AM50" i="16"/>
  <c r="AG50" i="16"/>
  <c r="AH50" i="16" s="1"/>
  <c r="AE50" i="16"/>
  <c r="Y50" i="16"/>
  <c r="U50" i="16"/>
  <c r="K50" i="16"/>
  <c r="F50" i="16"/>
  <c r="AM49" i="16"/>
  <c r="AG49" i="16"/>
  <c r="AH49" i="16" s="1"/>
  <c r="AE49" i="16"/>
  <c r="Y49" i="16"/>
  <c r="AB49" i="16" s="1"/>
  <c r="AC49" i="16" s="1"/>
  <c r="U49" i="16"/>
  <c r="K49" i="16"/>
  <c r="F49" i="16"/>
  <c r="AM48" i="16"/>
  <c r="AG48" i="16"/>
  <c r="AH48" i="16" s="1"/>
  <c r="AE48" i="16"/>
  <c r="V48" i="16"/>
  <c r="T48" i="16"/>
  <c r="Q48" i="16"/>
  <c r="P48" i="16"/>
  <c r="O48" i="16"/>
  <c r="L48" i="16"/>
  <c r="J48" i="16"/>
  <c r="G48" i="16"/>
  <c r="E48" i="16"/>
  <c r="D48" i="16"/>
  <c r="AL47" i="16"/>
  <c r="AJ47" i="16"/>
  <c r="AI47" i="16"/>
  <c r="AF47" i="16"/>
  <c r="AD47" i="16"/>
  <c r="AA47" i="16"/>
  <c r="Z47" i="16"/>
  <c r="X47" i="16"/>
  <c r="S47" i="16"/>
  <c r="R47" i="16"/>
  <c r="N47" i="16"/>
  <c r="I47" i="16"/>
  <c r="H47" i="16"/>
  <c r="AM46" i="16"/>
  <c r="AN46" i="16" s="1"/>
  <c r="AG46" i="16"/>
  <c r="AH46" i="16" s="1"/>
  <c r="AE46" i="16"/>
  <c r="Y46" i="16"/>
  <c r="AB46" i="16" s="1"/>
  <c r="AM45" i="16"/>
  <c r="AN45" i="16" s="1"/>
  <c r="AG45" i="16"/>
  <c r="AH45" i="16" s="1"/>
  <c r="AE45" i="16"/>
  <c r="Y45" i="16"/>
  <c r="AB45" i="16" s="1"/>
  <c r="AC45" i="16" s="1"/>
  <c r="AM44" i="16"/>
  <c r="AN44" i="16" s="1"/>
  <c r="AG44" i="16"/>
  <c r="AH44" i="16" s="1"/>
  <c r="AE44" i="16"/>
  <c r="V44" i="16"/>
  <c r="U44" i="16"/>
  <c r="T44" i="16"/>
  <c r="Q44" i="16"/>
  <c r="P44" i="16"/>
  <c r="O44" i="16"/>
  <c r="L44" i="16"/>
  <c r="K44" i="16"/>
  <c r="J44" i="16"/>
  <c r="G44" i="16"/>
  <c r="F44" i="16"/>
  <c r="E44" i="16"/>
  <c r="D44" i="16"/>
  <c r="AM43" i="16"/>
  <c r="AN43" i="16" s="1"/>
  <c r="AG43" i="16"/>
  <c r="AH43" i="16" s="1"/>
  <c r="AE43" i="16"/>
  <c r="Y43" i="16"/>
  <c r="AM42" i="16"/>
  <c r="AN42" i="16" s="1"/>
  <c r="AG42" i="16"/>
  <c r="AH42" i="16" s="1"/>
  <c r="AE42" i="16"/>
  <c r="V42" i="16"/>
  <c r="U42" i="16"/>
  <c r="U47" i="16" s="1"/>
  <c r="T42" i="16"/>
  <c r="Q42" i="16"/>
  <c r="P42" i="16"/>
  <c r="O42" i="16"/>
  <c r="L42" i="16"/>
  <c r="L47" i="16" s="1"/>
  <c r="K42" i="16"/>
  <c r="J42" i="16"/>
  <c r="J47" i="16" s="1"/>
  <c r="G42" i="16"/>
  <c r="F42" i="16"/>
  <c r="F47" i="16" s="1"/>
  <c r="E42" i="16"/>
  <c r="D42" i="16"/>
  <c r="D47" i="16" s="1"/>
  <c r="AL41" i="16"/>
  <c r="AJ41" i="16"/>
  <c r="AI41" i="16"/>
  <c r="AF41" i="16"/>
  <c r="AD41" i="16"/>
  <c r="AA41" i="16"/>
  <c r="Z41" i="16"/>
  <c r="X41" i="16"/>
  <c r="S41" i="16"/>
  <c r="N41" i="16"/>
  <c r="I41" i="16"/>
  <c r="H41" i="16"/>
  <c r="AM40" i="16"/>
  <c r="AG40" i="16"/>
  <c r="AE40" i="16"/>
  <c r="Y40" i="16"/>
  <c r="AB40" i="16" s="1"/>
  <c r="U40" i="16"/>
  <c r="K40" i="16"/>
  <c r="F40" i="16"/>
  <c r="AM39" i="16"/>
  <c r="AN39" i="16" s="1"/>
  <c r="AG39" i="16"/>
  <c r="AE39" i="16"/>
  <c r="Y39" i="16"/>
  <c r="U39" i="16"/>
  <c r="P39" i="16"/>
  <c r="K39" i="16"/>
  <c r="F39" i="16"/>
  <c r="AM38" i="16"/>
  <c r="AN38" i="16" s="1"/>
  <c r="AG38" i="16"/>
  <c r="AE38" i="16"/>
  <c r="Y38" i="16"/>
  <c r="AB38" i="16" s="1"/>
  <c r="U38" i="16"/>
  <c r="K38" i="16"/>
  <c r="F38" i="16"/>
  <c r="AM37" i="16"/>
  <c r="AG37" i="16"/>
  <c r="AM36" i="16"/>
  <c r="AG36" i="16"/>
  <c r="AE36" i="16"/>
  <c r="Y36" i="16"/>
  <c r="AB36" i="16" s="1"/>
  <c r="AC36" i="16" s="1"/>
  <c r="U36" i="16"/>
  <c r="K36" i="16"/>
  <c r="F36" i="16"/>
  <c r="AM35" i="16"/>
  <c r="AN35" i="16" s="1"/>
  <c r="AG35" i="16"/>
  <c r="AE35" i="16"/>
  <c r="Y35" i="16"/>
  <c r="AB35" i="16" s="1"/>
  <c r="U35" i="16"/>
  <c r="P35" i="16"/>
  <c r="K35" i="16"/>
  <c r="F35" i="16"/>
  <c r="AM34" i="16"/>
  <c r="AN34" i="16" s="1"/>
  <c r="AG34" i="16"/>
  <c r="AE34" i="16"/>
  <c r="Y34" i="16"/>
  <c r="AB34" i="16" s="1"/>
  <c r="AC34" i="16" s="1"/>
  <c r="U34" i="16"/>
  <c r="K34" i="16"/>
  <c r="F34" i="16"/>
  <c r="AM33" i="16"/>
  <c r="AE33" i="16"/>
  <c r="V33" i="16"/>
  <c r="T33" i="16"/>
  <c r="Q33" i="16"/>
  <c r="O33" i="16"/>
  <c r="L33" i="16"/>
  <c r="J33" i="16"/>
  <c r="G33" i="16"/>
  <c r="E33" i="16"/>
  <c r="D33" i="16"/>
  <c r="AM32" i="16"/>
  <c r="AG32" i="16"/>
  <c r="AH32" i="16" s="1"/>
  <c r="AE32" i="16"/>
  <c r="Y32" i="16"/>
  <c r="U32" i="16"/>
  <c r="P32" i="16"/>
  <c r="K32" i="16"/>
  <c r="F32" i="16"/>
  <c r="AM31" i="16"/>
  <c r="AG31" i="16"/>
  <c r="AH31" i="16" s="1"/>
  <c r="AE31" i="16"/>
  <c r="Y31" i="16"/>
  <c r="U31" i="16"/>
  <c r="K31" i="16"/>
  <c r="F31" i="16"/>
  <c r="AM30" i="16"/>
  <c r="AG30" i="16"/>
  <c r="AH30" i="16" s="1"/>
  <c r="AE30" i="16"/>
  <c r="Y30" i="16"/>
  <c r="AB30" i="16" s="1"/>
  <c r="AC30" i="16" s="1"/>
  <c r="U30" i="16"/>
  <c r="P30" i="16"/>
  <c r="K30" i="16"/>
  <c r="F30" i="16"/>
  <c r="AM29" i="16"/>
  <c r="AG29" i="16"/>
  <c r="AH29" i="16" s="1"/>
  <c r="AE29" i="16"/>
  <c r="Y29" i="16"/>
  <c r="U29" i="16"/>
  <c r="P29" i="16"/>
  <c r="K29" i="16"/>
  <c r="F29" i="16"/>
  <c r="AM28" i="16"/>
  <c r="AG28" i="16"/>
  <c r="AH28" i="16" s="1"/>
  <c r="AE28" i="16"/>
  <c r="V28" i="16"/>
  <c r="T28" i="16"/>
  <c r="Q28" i="16"/>
  <c r="O28" i="16"/>
  <c r="L28" i="16"/>
  <c r="J28" i="16"/>
  <c r="G28" i="16"/>
  <c r="E28" i="16"/>
  <c r="D28" i="16"/>
  <c r="AM26" i="16"/>
  <c r="AD26" i="16"/>
  <c r="V26" i="16"/>
  <c r="U26" i="16"/>
  <c r="T26" i="16"/>
  <c r="S26" i="16"/>
  <c r="Q26" i="16"/>
  <c r="O26" i="16"/>
  <c r="N26" i="16"/>
  <c r="L26" i="16"/>
  <c r="K26" i="16"/>
  <c r="J26" i="16"/>
  <c r="I26" i="16"/>
  <c r="AM24" i="16"/>
  <c r="AF24" i="16"/>
  <c r="AD24" i="16"/>
  <c r="X24" i="16"/>
  <c r="W24" i="16"/>
  <c r="V24" i="16"/>
  <c r="T24" i="16"/>
  <c r="S24" i="16"/>
  <c r="Q24" i="16"/>
  <c r="O24" i="16"/>
  <c r="N24" i="16"/>
  <c r="M24" i="16"/>
  <c r="L24" i="16"/>
  <c r="J24" i="16"/>
  <c r="I24" i="16"/>
  <c r="H24" i="16"/>
  <c r="G24" i="16"/>
  <c r="E24" i="16"/>
  <c r="D24" i="16"/>
  <c r="AM23" i="16"/>
  <c r="AG23" i="16"/>
  <c r="AH23" i="16" s="1"/>
  <c r="AE23" i="16"/>
  <c r="Y23" i="16"/>
  <c r="U23" i="16"/>
  <c r="P23" i="16"/>
  <c r="K23" i="16"/>
  <c r="F23" i="16"/>
  <c r="AM22" i="16"/>
  <c r="AE22" i="16"/>
  <c r="Y22" i="16"/>
  <c r="AB22" i="16" s="1"/>
  <c r="U22" i="16"/>
  <c r="P22" i="16"/>
  <c r="K22" i="16"/>
  <c r="F22" i="16"/>
  <c r="AK25" i="16"/>
  <c r="AF21" i="16"/>
  <c r="X21" i="16"/>
  <c r="W21" i="16"/>
  <c r="V21" i="16"/>
  <c r="T21" i="16"/>
  <c r="S21" i="16"/>
  <c r="R21" i="16"/>
  <c r="Q21" i="16"/>
  <c r="O21" i="16"/>
  <c r="N21" i="16"/>
  <c r="M21" i="16"/>
  <c r="L21" i="16"/>
  <c r="J21" i="16"/>
  <c r="I21" i="16"/>
  <c r="H21" i="16"/>
  <c r="G21" i="16"/>
  <c r="E21" i="16"/>
  <c r="D21" i="16"/>
  <c r="AM20" i="16"/>
  <c r="AG20" i="16"/>
  <c r="AE20" i="16"/>
  <c r="Y20" i="16"/>
  <c r="AB20" i="16" s="1"/>
  <c r="U20" i="16"/>
  <c r="P20" i="16"/>
  <c r="K20" i="16"/>
  <c r="F20" i="16"/>
  <c r="AM19" i="16"/>
  <c r="AG19" i="16"/>
  <c r="AH19" i="16" s="1"/>
  <c r="AE19" i="16"/>
  <c r="Y19" i="16"/>
  <c r="AB19" i="16" s="1"/>
  <c r="AC19" i="16" s="1"/>
  <c r="U19" i="16"/>
  <c r="P19" i="16"/>
  <c r="K19" i="16"/>
  <c r="F19" i="16"/>
  <c r="AM18" i="16"/>
  <c r="AG18" i="16"/>
  <c r="AH18" i="16" s="1"/>
  <c r="AE18" i="16"/>
  <c r="Y18" i="16"/>
  <c r="AB18" i="16" s="1"/>
  <c r="U18" i="16"/>
  <c r="P18" i="16"/>
  <c r="K18" i="16"/>
  <c r="F18" i="16"/>
  <c r="AM17" i="16"/>
  <c r="AG17" i="16"/>
  <c r="AH17" i="16" s="1"/>
  <c r="AE17" i="16"/>
  <c r="Y17" i="16"/>
  <c r="P17" i="16"/>
  <c r="AM16" i="16"/>
  <c r="AN16" i="16" s="1"/>
  <c r="AG16" i="16"/>
  <c r="AH16" i="16" s="1"/>
  <c r="AE16" i="16"/>
  <c r="Y16" i="16"/>
  <c r="U16" i="16"/>
  <c r="P16" i="16"/>
  <c r="K16" i="16"/>
  <c r="F16" i="16"/>
  <c r="AM15" i="16"/>
  <c r="AN15" i="16" s="1"/>
  <c r="AG15" i="16"/>
  <c r="AH15" i="16" s="1"/>
  <c r="AE15" i="16"/>
  <c r="Y15" i="16"/>
  <c r="AB15" i="16" s="1"/>
  <c r="AC15" i="16" s="1"/>
  <c r="U15" i="16"/>
  <c r="P15" i="16"/>
  <c r="K15" i="16"/>
  <c r="F15" i="16"/>
  <c r="AM14" i="16"/>
  <c r="AN14" i="16" s="1"/>
  <c r="AG14" i="16"/>
  <c r="AH14" i="16" s="1"/>
  <c r="AE14" i="16"/>
  <c r="Y14" i="16"/>
  <c r="AB14" i="16" s="1"/>
  <c r="AC14" i="16" s="1"/>
  <c r="P14" i="16"/>
  <c r="AM13" i="16"/>
  <c r="AG13" i="16"/>
  <c r="AH13" i="16" s="1"/>
  <c r="AE13" i="16"/>
  <c r="Y13" i="16"/>
  <c r="AB13" i="16" s="1"/>
  <c r="AC13" i="16" s="1"/>
  <c r="U13" i="16"/>
  <c r="P13" i="16"/>
  <c r="F13" i="16"/>
  <c r="AM12" i="16"/>
  <c r="AN12" i="16" s="1"/>
  <c r="AG12" i="16"/>
  <c r="AH12" i="16" s="1"/>
  <c r="AE12" i="16"/>
  <c r="Y12" i="16"/>
  <c r="U12" i="16"/>
  <c r="P12" i="16"/>
  <c r="K12" i="16"/>
  <c r="F12" i="16"/>
  <c r="AM11" i="16"/>
  <c r="AN11" i="16" s="1"/>
  <c r="AG11" i="16"/>
  <c r="AH11" i="16" s="1"/>
  <c r="AE11" i="16"/>
  <c r="Y11" i="16"/>
  <c r="AB11" i="16" s="1"/>
  <c r="AC11" i="16" s="1"/>
  <c r="U11" i="16"/>
  <c r="P11" i="16"/>
  <c r="K11" i="16"/>
  <c r="F11" i="16"/>
  <c r="AM10" i="16"/>
  <c r="AN10" i="16" s="1"/>
  <c r="AG10" i="16"/>
  <c r="AH10" i="16" s="1"/>
  <c r="AE10" i="16"/>
  <c r="Y10" i="16"/>
  <c r="AB10" i="16" s="1"/>
  <c r="AC10" i="16" s="1"/>
  <c r="U10" i="16"/>
  <c r="P10" i="16"/>
  <c r="K10" i="16"/>
  <c r="F10" i="16"/>
  <c r="AM9" i="16"/>
  <c r="AN9" i="16" s="1"/>
  <c r="AG9" i="16"/>
  <c r="AH9" i="16" s="1"/>
  <c r="AE9" i="16"/>
  <c r="Y9" i="16"/>
  <c r="AB9" i="16" s="1"/>
  <c r="U9" i="16"/>
  <c r="P9" i="16"/>
  <c r="K9" i="16"/>
  <c r="F9" i="16"/>
  <c r="AN8" i="16"/>
  <c r="AE8" i="16"/>
  <c r="AD8" i="16"/>
  <c r="AD21" i="16" s="1"/>
  <c r="Y8" i="16"/>
  <c r="P8" i="16"/>
  <c r="AN66" i="16" l="1"/>
  <c r="AN51" i="16"/>
  <c r="AN52" i="16"/>
  <c r="AN53" i="16"/>
  <c r="AN54" i="16"/>
  <c r="AB104" i="2"/>
  <c r="Z64" i="2"/>
  <c r="AB64" i="2" s="1"/>
  <c r="Y79" i="2"/>
  <c r="Z84" i="2"/>
  <c r="AC84" i="2" s="1"/>
  <c r="Y93" i="2"/>
  <c r="AB44" i="2"/>
  <c r="AB89" i="2"/>
  <c r="AC92" i="2"/>
  <c r="AC88" i="2"/>
  <c r="X25" i="2"/>
  <c r="X27" i="2" s="1"/>
  <c r="AC91" i="2"/>
  <c r="Z8" i="2"/>
  <c r="AB80" i="2"/>
  <c r="AB85" i="2"/>
  <c r="AN18" i="16"/>
  <c r="AN32" i="16"/>
  <c r="AN50" i="16"/>
  <c r="AN59" i="16"/>
  <c r="AN60" i="16"/>
  <c r="AN62" i="16"/>
  <c r="AN63" i="16"/>
  <c r="AN64" i="16"/>
  <c r="AN65" i="16"/>
  <c r="AN72" i="16"/>
  <c r="AN73" i="16"/>
  <c r="AN74" i="16"/>
  <c r="AN76" i="16"/>
  <c r="AN77" i="16"/>
  <c r="AN78" i="16"/>
  <c r="AN79" i="16"/>
  <c r="AN80" i="16"/>
  <c r="AN109" i="16"/>
  <c r="AN112" i="16"/>
  <c r="Y24" i="2"/>
  <c r="Z21" i="2"/>
  <c r="AB63" i="2"/>
  <c r="AB81" i="2"/>
  <c r="AB90" i="2"/>
  <c r="AB95" i="2"/>
  <c r="AB97" i="2"/>
  <c r="Z106" i="2"/>
  <c r="I15" i="11"/>
  <c r="K15" i="11" s="1"/>
  <c r="H15" i="11"/>
  <c r="AN17" i="16"/>
  <c r="AN19" i="16"/>
  <c r="AN31" i="16"/>
  <c r="AN29" i="16"/>
  <c r="AN58" i="16"/>
  <c r="H12" i="11"/>
  <c r="AH107" i="16"/>
  <c r="I12" i="11" s="1"/>
  <c r="K12" i="11" s="1"/>
  <c r="AN28" i="16"/>
  <c r="AN30" i="16"/>
  <c r="AN49" i="16"/>
  <c r="AN13" i="16"/>
  <c r="AN48" i="16"/>
  <c r="AN56" i="16"/>
  <c r="AN70" i="16"/>
  <c r="AN83" i="16"/>
  <c r="AN84" i="16"/>
  <c r="AN103" i="16"/>
  <c r="AN104" i="16"/>
  <c r="AN105" i="16"/>
  <c r="AN106" i="16"/>
  <c r="H11" i="11"/>
  <c r="I11" i="11"/>
  <c r="AN88" i="16"/>
  <c r="AN116" i="16"/>
  <c r="AN20" i="16"/>
  <c r="AN75" i="16"/>
  <c r="AN23" i="16"/>
  <c r="AN36" i="16"/>
  <c r="AN37" i="16"/>
  <c r="AN61" i="16"/>
  <c r="AN57" i="16"/>
  <c r="AN33" i="16"/>
  <c r="AN40" i="16"/>
  <c r="H17" i="11"/>
  <c r="P33" i="16"/>
  <c r="U75" i="16"/>
  <c r="U81" i="16" s="1"/>
  <c r="P47" i="16"/>
  <c r="F24" i="16"/>
  <c r="P70" i="16"/>
  <c r="K61" i="16"/>
  <c r="O47" i="16"/>
  <c r="U112" i="2"/>
  <c r="AN111" i="16"/>
  <c r="L15" i="11" s="1"/>
  <c r="T47" i="16"/>
  <c r="AI108" i="16"/>
  <c r="AK82" i="16"/>
  <c r="AL82" i="16"/>
  <c r="AL108" i="16" s="1"/>
  <c r="AJ82" i="16"/>
  <c r="J9" i="11"/>
  <c r="AJ27" i="16"/>
  <c r="AK27" i="16"/>
  <c r="G15" i="11"/>
  <c r="G14" i="11"/>
  <c r="AB26" i="2"/>
  <c r="G9" i="11" s="1"/>
  <c r="E9" i="11"/>
  <c r="U109" i="2"/>
  <c r="U110" i="2"/>
  <c r="F75" i="16"/>
  <c r="F81" i="16" s="1"/>
  <c r="M71" i="2"/>
  <c r="H71" i="2" s="1"/>
  <c r="U111" i="2"/>
  <c r="K24" i="16"/>
  <c r="V47" i="16"/>
  <c r="T41" i="16"/>
  <c r="T118" i="2"/>
  <c r="U118" i="2" s="1"/>
  <c r="F57" i="16"/>
  <c r="J13" i="2"/>
  <c r="G72" i="2"/>
  <c r="J72" i="2" s="1"/>
  <c r="G12" i="2"/>
  <c r="J12" i="2" s="1"/>
  <c r="G31" i="2"/>
  <c r="J31" i="2" s="1"/>
  <c r="G14" i="2"/>
  <c r="I14" i="2" s="1"/>
  <c r="M25" i="2"/>
  <c r="M27" i="2" s="1"/>
  <c r="R25" i="2"/>
  <c r="R27" i="2" s="1"/>
  <c r="D41" i="16"/>
  <c r="L41" i="16"/>
  <c r="G10" i="2"/>
  <c r="J10" i="2" s="1"/>
  <c r="J15" i="2"/>
  <c r="N25" i="2"/>
  <c r="N27" i="2" s="1"/>
  <c r="F24" i="2"/>
  <c r="H67" i="2"/>
  <c r="G70" i="2"/>
  <c r="J70" i="2" s="1"/>
  <c r="G85" i="2"/>
  <c r="J85" i="2" s="1"/>
  <c r="L87" i="2"/>
  <c r="L93" i="2" s="1"/>
  <c r="L121" i="2"/>
  <c r="G9" i="2"/>
  <c r="J9" i="2" s="1"/>
  <c r="G19" i="2"/>
  <c r="J19" i="2" s="1"/>
  <c r="G78" i="2"/>
  <c r="I78" i="2" s="1"/>
  <c r="I115" i="2"/>
  <c r="G73" i="2"/>
  <c r="I73" i="2" s="1"/>
  <c r="G74" i="2"/>
  <c r="J74" i="2" s="1"/>
  <c r="O24" i="2"/>
  <c r="J23" i="2"/>
  <c r="O28" i="2"/>
  <c r="S44" i="2"/>
  <c r="F45" i="2"/>
  <c r="T45" i="2" s="1"/>
  <c r="U45" i="2" s="1"/>
  <c r="O53" i="2"/>
  <c r="O57" i="2" s="1"/>
  <c r="L58" i="2"/>
  <c r="G60" i="2"/>
  <c r="J60" i="2" s="1"/>
  <c r="G65" i="2"/>
  <c r="J65" i="2" s="1"/>
  <c r="F67" i="2"/>
  <c r="U67" i="2" s="1"/>
  <c r="O82" i="2"/>
  <c r="G81" i="2"/>
  <c r="J81" i="2" s="1"/>
  <c r="G11" i="2"/>
  <c r="J11" i="2" s="1"/>
  <c r="G32" i="2"/>
  <c r="J32" i="2" s="1"/>
  <c r="G36" i="2"/>
  <c r="J36" i="2" s="1"/>
  <c r="G42" i="2"/>
  <c r="J42" i="2" s="1"/>
  <c r="G46" i="2"/>
  <c r="J46" i="2" s="1"/>
  <c r="G63" i="2"/>
  <c r="J63" i="2" s="1"/>
  <c r="J62" i="2" s="1"/>
  <c r="G96" i="2"/>
  <c r="J96" i="2" s="1"/>
  <c r="U57" i="16"/>
  <c r="G62" i="2"/>
  <c r="G75" i="2"/>
  <c r="J75" i="2" s="1"/>
  <c r="H82" i="2"/>
  <c r="G84" i="2"/>
  <c r="J84" i="2" s="1"/>
  <c r="J86" i="2"/>
  <c r="AC7" i="2"/>
  <c r="I23" i="2"/>
  <c r="I24" i="2" s="1"/>
  <c r="G8" i="2"/>
  <c r="J8" i="2" s="1"/>
  <c r="G18" i="2"/>
  <c r="J18" i="2" s="1"/>
  <c r="Q25" i="2"/>
  <c r="Q27" i="2" s="1"/>
  <c r="G21" i="2"/>
  <c r="J21" i="2" s="1"/>
  <c r="N44" i="2"/>
  <c r="G40" i="2"/>
  <c r="J40" i="2" s="1"/>
  <c r="G56" i="2"/>
  <c r="J56" i="2" s="1"/>
  <c r="O58" i="2"/>
  <c r="H62" i="2"/>
  <c r="L101" i="2"/>
  <c r="L107" i="2" s="1"/>
  <c r="F121" i="2"/>
  <c r="H28" i="2"/>
  <c r="F28" i="2"/>
  <c r="T28" i="2" s="1"/>
  <c r="U28" i="2" s="1"/>
  <c r="L45" i="2"/>
  <c r="G45" i="2" s="1"/>
  <c r="N79" i="2"/>
  <c r="O67" i="2"/>
  <c r="I15" i="2"/>
  <c r="J33" i="2"/>
  <c r="K44" i="2"/>
  <c r="O34" i="2"/>
  <c r="G41" i="2"/>
  <c r="J41" i="2" s="1"/>
  <c r="H45" i="2"/>
  <c r="AC57" i="2"/>
  <c r="U65" i="2"/>
  <c r="G66" i="2"/>
  <c r="J66" i="2" s="1"/>
  <c r="O71" i="2"/>
  <c r="G80" i="2"/>
  <c r="I80" i="2" s="1"/>
  <c r="I82" i="2" s="1"/>
  <c r="G103" i="2"/>
  <c r="I103" i="2" s="1"/>
  <c r="G105" i="2"/>
  <c r="J105" i="2" s="1"/>
  <c r="O121" i="2"/>
  <c r="P28" i="16"/>
  <c r="J16" i="2"/>
  <c r="O20" i="2"/>
  <c r="S25" i="2"/>
  <c r="S27" i="2" s="1"/>
  <c r="T29" i="2"/>
  <c r="U29" i="2" s="1"/>
  <c r="R44" i="2"/>
  <c r="K57" i="2"/>
  <c r="P57" i="2"/>
  <c r="L53" i="2"/>
  <c r="U74" i="2"/>
  <c r="G83" i="2"/>
  <c r="J83" i="2" s="1"/>
  <c r="G98" i="2"/>
  <c r="J98" i="2" s="1"/>
  <c r="F107" i="2"/>
  <c r="G104" i="2"/>
  <c r="J104" i="2" s="1"/>
  <c r="U119" i="2"/>
  <c r="T14" i="2"/>
  <c r="U14" i="2" s="1"/>
  <c r="J7" i="2"/>
  <c r="T11" i="2"/>
  <c r="U11" i="2" s="1"/>
  <c r="U12" i="2"/>
  <c r="AB13" i="2"/>
  <c r="K25" i="2"/>
  <c r="K27" i="2" s="1"/>
  <c r="P25" i="2"/>
  <c r="P27" i="2" s="1"/>
  <c r="W25" i="2"/>
  <c r="W27" i="2" s="1"/>
  <c r="L28" i="2"/>
  <c r="I33" i="2"/>
  <c r="I28" i="2" s="1"/>
  <c r="F34" i="2"/>
  <c r="T34" i="2" s="1"/>
  <c r="H34" i="2"/>
  <c r="T35" i="2"/>
  <c r="U35" i="2" s="1"/>
  <c r="T40" i="2"/>
  <c r="U40" i="2" s="1"/>
  <c r="M57" i="2"/>
  <c r="Q57" i="2"/>
  <c r="G54" i="2"/>
  <c r="J54" i="2" s="1"/>
  <c r="T56" i="2"/>
  <c r="U56" i="2" s="1"/>
  <c r="G59" i="2"/>
  <c r="J59" i="2" s="1"/>
  <c r="F62" i="2"/>
  <c r="T62" i="2" s="1"/>
  <c r="G64" i="2"/>
  <c r="J64" i="2" s="1"/>
  <c r="AC71" i="2"/>
  <c r="U73" i="2"/>
  <c r="G90" i="2"/>
  <c r="G91" i="2"/>
  <c r="I91" i="2" s="1"/>
  <c r="G92" i="2"/>
  <c r="I92" i="2" s="1"/>
  <c r="T98" i="2"/>
  <c r="U98" i="2" s="1"/>
  <c r="G99" i="2"/>
  <c r="T101" i="2"/>
  <c r="U101" i="2" s="1"/>
  <c r="G116" i="2"/>
  <c r="I116" i="2" s="1"/>
  <c r="S57" i="2"/>
  <c r="Q79" i="2"/>
  <c r="AG101" i="16"/>
  <c r="AH101" i="16" s="1"/>
  <c r="AN101" i="16" s="1"/>
  <c r="H20" i="2"/>
  <c r="F20" i="2"/>
  <c r="T20" i="2" s="1"/>
  <c r="AC13" i="2"/>
  <c r="G17" i="2"/>
  <c r="J17" i="2" s="1"/>
  <c r="T21" i="2"/>
  <c r="U21" i="2" s="1"/>
  <c r="J26" i="2"/>
  <c r="AC26" i="2"/>
  <c r="P44" i="2"/>
  <c r="G35" i="2"/>
  <c r="J35" i="2" s="1"/>
  <c r="U42" i="2"/>
  <c r="H58" i="2"/>
  <c r="G61" i="2"/>
  <c r="J61" i="2" s="1"/>
  <c r="R79" i="2"/>
  <c r="G69" i="2"/>
  <c r="J69" i="2" s="1"/>
  <c r="U72" i="2"/>
  <c r="T75" i="2"/>
  <c r="U75" i="2" s="1"/>
  <c r="G89" i="2"/>
  <c r="J89" i="2" s="1"/>
  <c r="T91" i="2"/>
  <c r="U91" i="2" s="1"/>
  <c r="T92" i="2"/>
  <c r="U92" i="2" s="1"/>
  <c r="T99" i="2"/>
  <c r="U99" i="2" s="1"/>
  <c r="G100" i="2"/>
  <c r="J100" i="2" s="1"/>
  <c r="G106" i="2"/>
  <c r="I106" i="2" s="1"/>
  <c r="H121" i="2"/>
  <c r="W121" i="2"/>
  <c r="T117" i="2"/>
  <c r="U117" i="2" s="1"/>
  <c r="J41" i="16"/>
  <c r="I13" i="2"/>
  <c r="I16" i="2"/>
  <c r="T22" i="2"/>
  <c r="U22" i="2" s="1"/>
  <c r="G29" i="2"/>
  <c r="J29" i="2" s="1"/>
  <c r="T18" i="2"/>
  <c r="U18" i="2" s="1"/>
  <c r="I26" i="2"/>
  <c r="H24" i="2"/>
  <c r="L24" i="2"/>
  <c r="G22" i="2"/>
  <c r="T54" i="2"/>
  <c r="U54" i="2" s="1"/>
  <c r="F53" i="2"/>
  <c r="G68" i="2"/>
  <c r="J68" i="2" s="1"/>
  <c r="L67" i="2"/>
  <c r="U84" i="2"/>
  <c r="U85" i="2"/>
  <c r="G88" i="2"/>
  <c r="J88" i="2" s="1"/>
  <c r="O87" i="2"/>
  <c r="O93" i="2" s="1"/>
  <c r="X94" i="2"/>
  <c r="O95" i="2"/>
  <c r="G95" i="2" s="1"/>
  <c r="F95" i="2"/>
  <c r="V67" i="16"/>
  <c r="L20" i="2"/>
  <c r="Y33" i="16"/>
  <c r="AB33" i="16" s="1"/>
  <c r="AC33" i="16" s="1"/>
  <c r="I7" i="2"/>
  <c r="G30" i="2"/>
  <c r="J30" i="2" s="1"/>
  <c r="L34" i="2"/>
  <c r="U36" i="2"/>
  <c r="T41" i="2"/>
  <c r="U41" i="2" s="1"/>
  <c r="AC44" i="2"/>
  <c r="G50" i="2"/>
  <c r="J50" i="2" s="1"/>
  <c r="G55" i="2"/>
  <c r="J55" i="2" s="1"/>
  <c r="U68" i="2"/>
  <c r="K79" i="2"/>
  <c r="S79" i="2"/>
  <c r="F82" i="2"/>
  <c r="T81" i="2"/>
  <c r="U81" i="2" s="1"/>
  <c r="U87" i="2"/>
  <c r="T55" i="2"/>
  <c r="U55" i="2" s="1"/>
  <c r="L82" i="2"/>
  <c r="T8" i="2"/>
  <c r="U8" i="2" s="1"/>
  <c r="M44" i="2"/>
  <c r="Q44" i="2"/>
  <c r="H53" i="2"/>
  <c r="N57" i="2"/>
  <c r="R57" i="2"/>
  <c r="U64" i="2"/>
  <c r="L71" i="2"/>
  <c r="P79" i="2"/>
  <c r="H87" i="2"/>
  <c r="I86" i="2"/>
  <c r="V94" i="2"/>
  <c r="V113" i="2" s="1"/>
  <c r="V122" i="2" s="1"/>
  <c r="F97" i="2"/>
  <c r="L97" i="2"/>
  <c r="G97" i="2" s="1"/>
  <c r="J97" i="2" s="1"/>
  <c r="I117" i="2"/>
  <c r="W94" i="2"/>
  <c r="U100" i="2"/>
  <c r="H101" i="2"/>
  <c r="M107" i="2"/>
  <c r="G102" i="2"/>
  <c r="J102" i="2" s="1"/>
  <c r="O101" i="2"/>
  <c r="O107" i="2" s="1"/>
  <c r="T89" i="2"/>
  <c r="U89" i="2" s="1"/>
  <c r="T103" i="2"/>
  <c r="U103" i="2" s="1"/>
  <c r="T104" i="2"/>
  <c r="U104" i="2" s="1"/>
  <c r="T105" i="2"/>
  <c r="U105" i="2" s="1"/>
  <c r="T106" i="2"/>
  <c r="T96" i="2"/>
  <c r="U96" i="2" s="1"/>
  <c r="AA21" i="16"/>
  <c r="V25" i="16"/>
  <c r="V27" i="16" s="1"/>
  <c r="M25" i="16"/>
  <c r="M27" i="16" s="1"/>
  <c r="M108" i="16" s="1"/>
  <c r="U48" i="16"/>
  <c r="P57" i="16"/>
  <c r="E114" i="16"/>
  <c r="E118" i="16" s="1"/>
  <c r="I25" i="16"/>
  <c r="I27" i="16" s="1"/>
  <c r="N25" i="16"/>
  <c r="N27" i="16" s="1"/>
  <c r="AE70" i="16"/>
  <c r="P61" i="16"/>
  <c r="Y70" i="16"/>
  <c r="AB70" i="16" s="1"/>
  <c r="AC70" i="16" s="1"/>
  <c r="P21" i="16"/>
  <c r="AE21" i="16"/>
  <c r="Y24" i="16"/>
  <c r="AC24" i="16" s="1"/>
  <c r="AE47" i="16"/>
  <c r="K48" i="16"/>
  <c r="U61" i="16"/>
  <c r="O114" i="16"/>
  <c r="O118" i="16" s="1"/>
  <c r="S115" i="16"/>
  <c r="AE115" i="16" s="1"/>
  <c r="AG47" i="16"/>
  <c r="F48" i="16"/>
  <c r="AG26" i="16"/>
  <c r="J25" i="16"/>
  <c r="J27" i="16" s="1"/>
  <c r="AF25" i="16"/>
  <c r="AF27" i="16" s="1"/>
  <c r="Q25" i="16"/>
  <c r="Q27" i="16" s="1"/>
  <c r="AE26" i="16"/>
  <c r="F114" i="16"/>
  <c r="F118" i="16" s="1"/>
  <c r="K57" i="16"/>
  <c r="AE102" i="16"/>
  <c r="F21" i="16"/>
  <c r="F33" i="16"/>
  <c r="Q67" i="16"/>
  <c r="AB60" i="16"/>
  <c r="AC60" i="16" s="1"/>
  <c r="H82" i="16"/>
  <c r="S25" i="16"/>
  <c r="S27" i="16" s="1"/>
  <c r="AE67" i="16"/>
  <c r="D102" i="16"/>
  <c r="Y52" i="16"/>
  <c r="AB52" i="16" s="1"/>
  <c r="K75" i="16"/>
  <c r="K81" i="16" s="1"/>
  <c r="K21" i="16"/>
  <c r="AC20" i="16"/>
  <c r="AB23" i="16"/>
  <c r="AC23" i="16" s="1"/>
  <c r="AE24" i="16"/>
  <c r="E25" i="16"/>
  <c r="E27" i="16" s="1"/>
  <c r="O41" i="16"/>
  <c r="V41" i="16"/>
  <c r="U28" i="16"/>
  <c r="Y42" i="16"/>
  <c r="AB42" i="16" s="1"/>
  <c r="AC42" i="16" s="1"/>
  <c r="E47" i="16"/>
  <c r="K47" i="16"/>
  <c r="Q47" i="16"/>
  <c r="AD82" i="16"/>
  <c r="AD108" i="16" s="1"/>
  <c r="E67" i="16"/>
  <c r="L67" i="16"/>
  <c r="T67" i="16"/>
  <c r="AG55" i="16"/>
  <c r="AN55" i="16" s="1"/>
  <c r="AE57" i="16"/>
  <c r="F61" i="16"/>
  <c r="AC66" i="16"/>
  <c r="U70" i="16"/>
  <c r="AC74" i="16"/>
  <c r="P75" i="16"/>
  <c r="P81" i="16" s="1"/>
  <c r="AC78" i="16"/>
  <c r="AE81" i="16"/>
  <c r="AB92" i="16"/>
  <c r="AC92" i="16" s="1"/>
  <c r="AC115" i="16"/>
  <c r="I116" i="16"/>
  <c r="I114" i="16" s="1"/>
  <c r="I118" i="16" s="1"/>
  <c r="X25" i="16"/>
  <c r="X27" i="16" s="1"/>
  <c r="K28" i="16"/>
  <c r="G47" i="16"/>
  <c r="K33" i="16"/>
  <c r="E41" i="16"/>
  <c r="P26" i="16"/>
  <c r="P24" i="16"/>
  <c r="W25" i="16"/>
  <c r="W27" i="16" s="1"/>
  <c r="W108" i="16" s="1"/>
  <c r="Y26" i="16"/>
  <c r="AB26" i="16" s="1"/>
  <c r="G41" i="16"/>
  <c r="F28" i="16"/>
  <c r="O67" i="16"/>
  <c r="Y57" i="16"/>
  <c r="AB57" i="16" s="1"/>
  <c r="AC57" i="16" s="1"/>
  <c r="D67" i="16"/>
  <c r="AB71" i="16"/>
  <c r="AC71" i="16" s="1"/>
  <c r="AC107" i="16"/>
  <c r="L25" i="16"/>
  <c r="L27" i="16" s="1"/>
  <c r="T114" i="16"/>
  <c r="T118" i="16" s="1"/>
  <c r="U116" i="16"/>
  <c r="Y116" i="16"/>
  <c r="X116" i="16"/>
  <c r="X114" i="16" s="1"/>
  <c r="X118" i="16" s="1"/>
  <c r="D25" i="16"/>
  <c r="D27" i="16" s="1"/>
  <c r="AB29" i="16"/>
  <c r="AC29" i="16" s="1"/>
  <c r="AB32" i="16"/>
  <c r="AC32" i="16" s="1"/>
  <c r="U33" i="16"/>
  <c r="AB39" i="16"/>
  <c r="AC39" i="16" s="1"/>
  <c r="Y44" i="16"/>
  <c r="G67" i="16"/>
  <c r="AG67" i="16"/>
  <c r="AB93" i="16"/>
  <c r="AC93" i="16" s="1"/>
  <c r="Y88" i="16"/>
  <c r="H25" i="16"/>
  <c r="AB43" i="16"/>
  <c r="AC43" i="16" s="1"/>
  <c r="AB16" i="16"/>
  <c r="AC16" i="16" s="1"/>
  <c r="Y21" i="16"/>
  <c r="AB21" i="16" s="1"/>
  <c r="R24" i="16"/>
  <c r="R25" i="16" s="1"/>
  <c r="R27" i="16" s="1"/>
  <c r="AG22" i="16"/>
  <c r="AH22" i="16" s="1"/>
  <c r="AN22" i="16" s="1"/>
  <c r="AC22" i="16"/>
  <c r="Q41" i="16"/>
  <c r="AB50" i="16"/>
  <c r="AC50" i="16" s="1"/>
  <c r="AB54" i="16"/>
  <c r="AC54" i="16" s="1"/>
  <c r="AB64" i="16"/>
  <c r="AC64" i="16" s="1"/>
  <c r="AB69" i="16"/>
  <c r="AC69" i="16" s="1"/>
  <c r="AB110" i="16"/>
  <c r="AC110" i="16" s="1"/>
  <c r="AC9" i="16"/>
  <c r="AD25" i="16"/>
  <c r="AB113" i="16"/>
  <c r="AC113" i="16" s="1"/>
  <c r="AB12" i="16"/>
  <c r="AC12" i="16" s="1"/>
  <c r="AB8" i="16"/>
  <c r="AC8" i="16" s="1"/>
  <c r="U21" i="16"/>
  <c r="AB17" i="16"/>
  <c r="AC17" i="16" s="1"/>
  <c r="AC18" i="16"/>
  <c r="U24" i="16"/>
  <c r="G25" i="16"/>
  <c r="G27" i="16" s="1"/>
  <c r="O25" i="16"/>
  <c r="O27" i="16" s="1"/>
  <c r="T25" i="16"/>
  <c r="T27" i="16" s="1"/>
  <c r="AA24" i="16"/>
  <c r="I82" i="16"/>
  <c r="AE41" i="16"/>
  <c r="AM41" i="16"/>
  <c r="AM47" i="16"/>
  <c r="AM67" i="16"/>
  <c r="AB83" i="16"/>
  <c r="AB87" i="16"/>
  <c r="AC87" i="16" s="1"/>
  <c r="AB98" i="16"/>
  <c r="AC98" i="16" s="1"/>
  <c r="AM102" i="16"/>
  <c r="T101" i="16"/>
  <c r="T102" i="16" s="1"/>
  <c r="AE88" i="16"/>
  <c r="AB89" i="16"/>
  <c r="AC89" i="16" s="1"/>
  <c r="AB94" i="16"/>
  <c r="AC94" i="16" s="1"/>
  <c r="AB31" i="16"/>
  <c r="AC31" i="16" s="1"/>
  <c r="AC35" i="16"/>
  <c r="R41" i="16"/>
  <c r="R71" i="16" s="1"/>
  <c r="AA82" i="16"/>
  <c r="AA108" i="16" s="1"/>
  <c r="AA119" i="16" s="1"/>
  <c r="J67" i="16"/>
  <c r="Y48" i="16"/>
  <c r="AB55" i="16"/>
  <c r="AC55" i="16" s="1"/>
  <c r="Y61" i="16"/>
  <c r="AB65" i="16"/>
  <c r="AC65" i="16" s="1"/>
  <c r="AB77" i="16"/>
  <c r="AC77" i="16" s="1"/>
  <c r="AM81" i="16"/>
  <c r="AB90" i="16"/>
  <c r="AC90" i="16" s="1"/>
  <c r="E101" i="16"/>
  <c r="Y28" i="16"/>
  <c r="Z82" i="16"/>
  <c r="Z108" i="16" s="1"/>
  <c r="Z119" i="16" s="1"/>
  <c r="AB76" i="16"/>
  <c r="AC76" i="16" s="1"/>
  <c r="AC38" i="16"/>
  <c r="AC40" i="16"/>
  <c r="N82" i="16"/>
  <c r="AC46" i="16"/>
  <c r="AC58" i="16"/>
  <c r="AC63" i="16"/>
  <c r="AC68" i="16"/>
  <c r="Y75" i="16"/>
  <c r="Y81" i="16"/>
  <c r="AB97" i="16"/>
  <c r="AC97" i="16" s="1"/>
  <c r="J102" i="16"/>
  <c r="AM118" i="16"/>
  <c r="AN110" i="16"/>
  <c r="K114" i="16"/>
  <c r="K118" i="16" s="1"/>
  <c r="S82" i="16"/>
  <c r="X82" i="16"/>
  <c r="AF82" i="16"/>
  <c r="AC72" i="16"/>
  <c r="AB80" i="16"/>
  <c r="AC80" i="16" s="1"/>
  <c r="AE107" i="16"/>
  <c r="M118" i="16"/>
  <c r="Y117" i="16"/>
  <c r="P115" i="16"/>
  <c r="AM82" i="16" l="1"/>
  <c r="AK108" i="16"/>
  <c r="AM108" i="16"/>
  <c r="Y94" i="2"/>
  <c r="AB84" i="2"/>
  <c r="Z93" i="2"/>
  <c r="AC64" i="2"/>
  <c r="Z79" i="2"/>
  <c r="AC79" i="2" s="1"/>
  <c r="X113" i="2"/>
  <c r="Y25" i="2"/>
  <c r="Y27" i="2" s="1"/>
  <c r="AB21" i="2"/>
  <c r="Z24" i="2"/>
  <c r="AB8" i="2"/>
  <c r="AC93" i="2"/>
  <c r="I85" i="2"/>
  <c r="AC106" i="2"/>
  <c r="AB106" i="2"/>
  <c r="H9" i="11"/>
  <c r="AH26" i="16"/>
  <c r="C11" i="11"/>
  <c r="AN47" i="16"/>
  <c r="C9" i="11"/>
  <c r="AG41" i="16"/>
  <c r="AN41" i="16" s="1"/>
  <c r="AN67" i="16"/>
  <c r="I17" i="11"/>
  <c r="AN113" i="16"/>
  <c r="L17" i="11" s="1"/>
  <c r="AJ108" i="16"/>
  <c r="H24" i="33" s="1"/>
  <c r="P41" i="16"/>
  <c r="F25" i="16"/>
  <c r="F27" i="16" s="1"/>
  <c r="AN102" i="16"/>
  <c r="L11" i="11" s="1"/>
  <c r="J11" i="11"/>
  <c r="K11" i="11" s="1"/>
  <c r="AM25" i="16"/>
  <c r="J8" i="11" s="1"/>
  <c r="O8" i="11" s="1"/>
  <c r="E82" i="16"/>
  <c r="K25" i="16"/>
  <c r="K27" i="16" s="1"/>
  <c r="M79" i="2"/>
  <c r="M94" i="2" s="1"/>
  <c r="M113" i="2" s="1"/>
  <c r="M122" i="2" s="1"/>
  <c r="K67" i="16"/>
  <c r="T82" i="16"/>
  <c r="T108" i="16" s="1"/>
  <c r="T119" i="16" s="1"/>
  <c r="J80" i="2"/>
  <c r="J82" i="2" s="1"/>
  <c r="W113" i="2"/>
  <c r="I105" i="2"/>
  <c r="I65" i="2"/>
  <c r="J103" i="2"/>
  <c r="O25" i="2"/>
  <c r="O27" i="2" s="1"/>
  <c r="G121" i="2"/>
  <c r="I104" i="2"/>
  <c r="J14" i="2"/>
  <c r="J20" i="2" s="1"/>
  <c r="D71" i="16"/>
  <c r="D81" i="16" s="1"/>
  <c r="D82" i="16" s="1"/>
  <c r="D108" i="16" s="1"/>
  <c r="D119" i="16" s="1"/>
  <c r="I88" i="2"/>
  <c r="I40" i="2"/>
  <c r="I34" i="2" s="1"/>
  <c r="I44" i="2" s="1"/>
  <c r="G58" i="2"/>
  <c r="G28" i="2"/>
  <c r="J73" i="2"/>
  <c r="I56" i="2"/>
  <c r="I53" i="2" s="1"/>
  <c r="I84" i="2"/>
  <c r="I108" i="16"/>
  <c r="I119" i="16" s="1"/>
  <c r="J67" i="2"/>
  <c r="I121" i="2"/>
  <c r="I75" i="2"/>
  <c r="L82" i="16"/>
  <c r="L108" i="16" s="1"/>
  <c r="L119" i="16" s="1"/>
  <c r="J78" i="2"/>
  <c r="I72" i="2"/>
  <c r="U121" i="2"/>
  <c r="O44" i="2"/>
  <c r="F41" i="16"/>
  <c r="T121" i="2"/>
  <c r="I96" i="2"/>
  <c r="J91" i="2"/>
  <c r="I98" i="2"/>
  <c r="I10" i="2"/>
  <c r="P25" i="16"/>
  <c r="P27" i="16" s="1"/>
  <c r="T107" i="2"/>
  <c r="U107" i="2" s="1"/>
  <c r="J106" i="2"/>
  <c r="T44" i="2"/>
  <c r="O79" i="2"/>
  <c r="I74" i="2"/>
  <c r="I19" i="2"/>
  <c r="U67" i="16"/>
  <c r="F67" i="16"/>
  <c r="F79" i="2"/>
  <c r="J53" i="2"/>
  <c r="L25" i="2"/>
  <c r="L27" i="2" s="1"/>
  <c r="F25" i="2"/>
  <c r="F27" i="2" s="1"/>
  <c r="I60" i="2"/>
  <c r="I58" i="2" s="1"/>
  <c r="G82" i="2"/>
  <c r="J92" i="2"/>
  <c r="H57" i="2"/>
  <c r="S94" i="2"/>
  <c r="S113" i="2" s="1"/>
  <c r="S122" i="2" s="1"/>
  <c r="J45" i="2"/>
  <c r="J34" i="2"/>
  <c r="H44" i="2"/>
  <c r="T24" i="2"/>
  <c r="U24" i="2" s="1"/>
  <c r="L57" i="2"/>
  <c r="P94" i="2"/>
  <c r="P113" i="2" s="1"/>
  <c r="P122" i="2" s="1"/>
  <c r="I50" i="2"/>
  <c r="I45" i="2" s="1"/>
  <c r="F44" i="2"/>
  <c r="G67" i="2"/>
  <c r="G20" i="2"/>
  <c r="H25" i="2"/>
  <c r="H27" i="2" s="1"/>
  <c r="K94" i="2"/>
  <c r="K113" i="2" s="1"/>
  <c r="K122" i="2" s="1"/>
  <c r="N94" i="2"/>
  <c r="N113" i="2" s="1"/>
  <c r="Q94" i="2"/>
  <c r="Q113" i="2" s="1"/>
  <c r="Q122" i="2" s="1"/>
  <c r="R94" i="2"/>
  <c r="R113" i="2" s="1"/>
  <c r="R122" i="2" s="1"/>
  <c r="H79" i="2"/>
  <c r="J58" i="2"/>
  <c r="U62" i="2"/>
  <c r="T79" i="2"/>
  <c r="J90" i="2"/>
  <c r="I90" i="2"/>
  <c r="M119" i="16"/>
  <c r="AF108" i="16"/>
  <c r="J82" i="16"/>
  <c r="J108" i="16" s="1"/>
  <c r="J119" i="16" s="1"/>
  <c r="Z21" i="16"/>
  <c r="U41" i="16"/>
  <c r="V82" i="16"/>
  <c r="V108" i="16" s="1"/>
  <c r="I83" i="2"/>
  <c r="I69" i="2"/>
  <c r="I67" i="2" s="1"/>
  <c r="G53" i="2"/>
  <c r="G57" i="2" s="1"/>
  <c r="J99" i="2"/>
  <c r="I99" i="2"/>
  <c r="I100" i="2"/>
  <c r="N108" i="16"/>
  <c r="N119" i="16" s="1"/>
  <c r="P67" i="16"/>
  <c r="I89" i="2"/>
  <c r="J22" i="2"/>
  <c r="J24" i="2" s="1"/>
  <c r="G24" i="2"/>
  <c r="G87" i="2"/>
  <c r="G93" i="2" s="1"/>
  <c r="T97" i="2"/>
  <c r="U97" i="2" s="1"/>
  <c r="AB79" i="2"/>
  <c r="T95" i="2"/>
  <c r="U95" i="2" s="1"/>
  <c r="F57" i="2"/>
  <c r="T53" i="2"/>
  <c r="T57" i="2" s="1"/>
  <c r="U34" i="2"/>
  <c r="H107" i="2"/>
  <c r="H93" i="2"/>
  <c r="L79" i="2"/>
  <c r="G71" i="2"/>
  <c r="I97" i="2"/>
  <c r="L44" i="2"/>
  <c r="G34" i="2"/>
  <c r="U20" i="2"/>
  <c r="J95" i="2"/>
  <c r="I95" i="2"/>
  <c r="S114" i="16"/>
  <c r="S118" i="16" s="1"/>
  <c r="U106" i="2"/>
  <c r="G101" i="2"/>
  <c r="G107" i="2" s="1"/>
  <c r="I102" i="2"/>
  <c r="T82" i="2"/>
  <c r="U82" i="2" s="1"/>
  <c r="J28" i="2"/>
  <c r="K41" i="16"/>
  <c r="O82" i="16"/>
  <c r="O108" i="16" s="1"/>
  <c r="O119" i="16" s="1"/>
  <c r="AE27" i="16"/>
  <c r="Y101" i="16"/>
  <c r="Y102" i="16" s="1"/>
  <c r="AG71" i="16"/>
  <c r="AH71" i="16" s="1"/>
  <c r="AN71" i="16" s="1"/>
  <c r="X108" i="16"/>
  <c r="X119" i="16" s="1"/>
  <c r="AC52" i="16"/>
  <c r="AE116" i="16"/>
  <c r="AE114" i="16" s="1"/>
  <c r="AE118" i="16" s="1"/>
  <c r="AE25" i="16"/>
  <c r="G82" i="16"/>
  <c r="G108" i="16" s="1"/>
  <c r="G119" i="16" s="1"/>
  <c r="AC26" i="16"/>
  <c r="Z24" i="16"/>
  <c r="Q82" i="16"/>
  <c r="Q108" i="16" s="1"/>
  <c r="AB24" i="16"/>
  <c r="S108" i="16"/>
  <c r="AG24" i="16"/>
  <c r="AH24" i="16" s="1"/>
  <c r="AN24" i="16" s="1"/>
  <c r="Y27" i="16"/>
  <c r="AB44" i="16"/>
  <c r="AC44" i="16" s="1"/>
  <c r="AC47" i="16" s="1"/>
  <c r="AB75" i="16"/>
  <c r="AC75" i="16" s="1"/>
  <c r="AB61" i="16"/>
  <c r="AC61" i="16" s="1"/>
  <c r="Y67" i="16"/>
  <c r="V116" i="16"/>
  <c r="V114" i="16" s="1"/>
  <c r="V118" i="16" s="1"/>
  <c r="U114" i="16"/>
  <c r="U118" i="16" s="1"/>
  <c r="P114" i="16"/>
  <c r="P118" i="16" s="1"/>
  <c r="Q115" i="16"/>
  <c r="Q114" i="16" s="1"/>
  <c r="Q118" i="16" s="1"/>
  <c r="AC83" i="16"/>
  <c r="H27" i="16"/>
  <c r="AG25" i="16"/>
  <c r="AB81" i="16"/>
  <c r="AC21" i="16"/>
  <c r="AB88" i="16"/>
  <c r="AC88" i="16" s="1"/>
  <c r="AB116" i="16"/>
  <c r="AC116" i="16" s="1"/>
  <c r="Y114" i="16"/>
  <c r="AB117" i="16"/>
  <c r="AC117" i="16" s="1"/>
  <c r="AB28" i="16"/>
  <c r="AB41" i="16" s="1"/>
  <c r="Y41" i="16"/>
  <c r="AB48" i="16"/>
  <c r="AC48" i="16" s="1"/>
  <c r="AE82" i="16"/>
  <c r="U25" i="16"/>
  <c r="U27" i="16" s="1"/>
  <c r="E102" i="16"/>
  <c r="Y25" i="16"/>
  <c r="AB25" i="16" s="1"/>
  <c r="AB27" i="16" s="1"/>
  <c r="Y47" i="16"/>
  <c r="Z94" i="2" l="1"/>
  <c r="D10" i="11" s="1"/>
  <c r="AB93" i="2"/>
  <c r="AB20" i="2"/>
  <c r="AC24" i="2"/>
  <c r="AB24" i="2"/>
  <c r="D11" i="11"/>
  <c r="F11" i="11" s="1"/>
  <c r="G11" i="11"/>
  <c r="AC107" i="2"/>
  <c r="C8" i="11"/>
  <c r="M8" i="11" s="1"/>
  <c r="AC20" i="2"/>
  <c r="I9" i="11"/>
  <c r="K9" i="11" s="1"/>
  <c r="AN26" i="16"/>
  <c r="L9" i="11" s="1"/>
  <c r="H8" i="11"/>
  <c r="I8" i="11"/>
  <c r="K8" i="11" s="1"/>
  <c r="P82" i="16"/>
  <c r="P108" i="16" s="1"/>
  <c r="P119" i="16" s="1"/>
  <c r="I27" i="33"/>
  <c r="AM27" i="16"/>
  <c r="N122" i="2"/>
  <c r="E10" i="11"/>
  <c r="Y113" i="2"/>
  <c r="C10" i="11"/>
  <c r="E8" i="11"/>
  <c r="E108" i="16"/>
  <c r="E119" i="16" s="1"/>
  <c r="K82" i="16"/>
  <c r="K108" i="16" s="1"/>
  <c r="K119" i="16" s="1"/>
  <c r="J101" i="2"/>
  <c r="J107" i="2" s="1"/>
  <c r="U44" i="2"/>
  <c r="J71" i="2"/>
  <c r="J79" i="2" s="1"/>
  <c r="G44" i="2"/>
  <c r="J25" i="2"/>
  <c r="J27" i="2" s="1"/>
  <c r="O94" i="2"/>
  <c r="O113" i="2" s="1"/>
  <c r="O122" i="2" s="1"/>
  <c r="J57" i="2"/>
  <c r="I57" i="2"/>
  <c r="F83" i="2"/>
  <c r="T83" i="2" s="1"/>
  <c r="T93" i="2" s="1"/>
  <c r="T94" i="2" s="1"/>
  <c r="T25" i="2"/>
  <c r="T27" i="2" s="1"/>
  <c r="U27" i="2" s="1"/>
  <c r="F82" i="16"/>
  <c r="F108" i="16" s="1"/>
  <c r="F119" i="16" s="1"/>
  <c r="I20" i="2"/>
  <c r="I25" i="2" s="1"/>
  <c r="I27" i="2" s="1"/>
  <c r="U82" i="16"/>
  <c r="U108" i="16" s="1"/>
  <c r="U119" i="16" s="1"/>
  <c r="AE108" i="16"/>
  <c r="AE119" i="16" s="1"/>
  <c r="AA113" i="2"/>
  <c r="U79" i="2"/>
  <c r="J87" i="2"/>
  <c r="J93" i="2" s="1"/>
  <c r="I87" i="2"/>
  <c r="I93" i="2" s="1"/>
  <c r="I94" i="2" s="1"/>
  <c r="G25" i="2"/>
  <c r="G27" i="2" s="1"/>
  <c r="H94" i="2"/>
  <c r="H113" i="2" s="1"/>
  <c r="H122" i="2" s="1"/>
  <c r="J44" i="2"/>
  <c r="AB101" i="16"/>
  <c r="AC101" i="16" s="1"/>
  <c r="AC102" i="16" s="1"/>
  <c r="S119" i="16"/>
  <c r="L94" i="2"/>
  <c r="L113" i="2" s="1"/>
  <c r="L122" i="2" s="1"/>
  <c r="AB47" i="16"/>
  <c r="U53" i="2"/>
  <c r="Y82" i="16"/>
  <c r="Y108" i="16" s="1"/>
  <c r="I101" i="2"/>
  <c r="I107" i="2" s="1"/>
  <c r="U57" i="2"/>
  <c r="G79" i="2"/>
  <c r="I71" i="2"/>
  <c r="I79" i="2" s="1"/>
  <c r="V119" i="16"/>
  <c r="R81" i="16"/>
  <c r="Q119" i="16"/>
  <c r="AC67" i="16"/>
  <c r="AC28" i="16"/>
  <c r="AC41" i="16" s="1"/>
  <c r="H108" i="16"/>
  <c r="H119" i="16" s="1"/>
  <c r="AG27" i="16"/>
  <c r="AB114" i="16"/>
  <c r="AB118" i="16" s="1"/>
  <c r="Y118" i="16"/>
  <c r="AC25" i="16"/>
  <c r="AC27" i="16" s="1"/>
  <c r="AC81" i="16"/>
  <c r="AB67" i="16"/>
  <c r="AB25" i="2" l="1"/>
  <c r="G8" i="11" s="1"/>
  <c r="Z113" i="2"/>
  <c r="AB113" i="2" s="1"/>
  <c r="AC94" i="2"/>
  <c r="AB94" i="2"/>
  <c r="G10" i="11" s="1"/>
  <c r="AB27" i="2"/>
  <c r="D8" i="11"/>
  <c r="AC25" i="2"/>
  <c r="Y120" i="2"/>
  <c r="Z120" i="2" s="1"/>
  <c r="AN25" i="16"/>
  <c r="L8" i="11" s="1"/>
  <c r="AN27" i="16"/>
  <c r="AM119" i="16"/>
  <c r="G24" i="33"/>
  <c r="J10" i="11"/>
  <c r="G94" i="2"/>
  <c r="G113" i="2" s="1"/>
  <c r="G122" i="2" s="1"/>
  <c r="U25" i="2"/>
  <c r="T113" i="2"/>
  <c r="T122" i="2" s="1"/>
  <c r="U122" i="2" s="1"/>
  <c r="F93" i="2"/>
  <c r="U93" i="2" s="1"/>
  <c r="J94" i="2"/>
  <c r="J113" i="2" s="1"/>
  <c r="J122" i="2" s="1"/>
  <c r="AB102" i="16"/>
  <c r="AB82" i="16"/>
  <c r="I113" i="2"/>
  <c r="I122" i="2" s="1"/>
  <c r="U83" i="2"/>
  <c r="AC82" i="16"/>
  <c r="AC108" i="16" s="1"/>
  <c r="AG81" i="16"/>
  <c r="AN81" i="16" s="1"/>
  <c r="R82" i="16"/>
  <c r="Y119" i="16"/>
  <c r="AB119" i="16" s="1"/>
  <c r="AC114" i="16"/>
  <c r="AC118" i="16" s="1"/>
  <c r="AC27" i="2" l="1"/>
  <c r="Y118" i="2"/>
  <c r="AC113" i="2"/>
  <c r="F94" i="2"/>
  <c r="U94" i="2" s="1"/>
  <c r="AB108" i="16"/>
  <c r="AG82" i="16"/>
  <c r="R108" i="16"/>
  <c r="AC119" i="16"/>
  <c r="Y121" i="2" l="1"/>
  <c r="Y122" i="2" s="1"/>
  <c r="Z118" i="2"/>
  <c r="C18" i="11"/>
  <c r="I10" i="11"/>
  <c r="K10" i="11" s="1"/>
  <c r="AN82" i="16"/>
  <c r="L10" i="11" s="1"/>
  <c r="L13" i="11" s="1"/>
  <c r="AG108" i="16"/>
  <c r="H10" i="11"/>
  <c r="F113" i="2"/>
  <c r="U113" i="2" s="1"/>
  <c r="Z121" i="2" l="1"/>
  <c r="Z122" i="2" s="1"/>
  <c r="AB118" i="2"/>
  <c r="AB121" i="2" s="1"/>
  <c r="AB122" i="2" s="1"/>
  <c r="AC118" i="2"/>
  <c r="G18" i="11"/>
  <c r="D18" i="11"/>
  <c r="F18" i="11" s="1"/>
  <c r="AN108" i="16"/>
  <c r="R117" i="16"/>
  <c r="AC121" i="2" l="1"/>
  <c r="R114" i="16"/>
  <c r="R118" i="16" s="1"/>
  <c r="AG118" i="16" s="1"/>
  <c r="AH118" i="16" s="1"/>
  <c r="G17" i="11"/>
  <c r="AG117" i="16"/>
  <c r="AH117" i="16" s="1"/>
  <c r="AN117" i="16" s="1"/>
  <c r="AG114" i="16" l="1"/>
  <c r="AN118" i="16"/>
  <c r="R119" i="16"/>
  <c r="AG119" i="16" s="1"/>
  <c r="AH119" i="16" s="1"/>
  <c r="AN119" i="16" s="1"/>
  <c r="H18" i="11"/>
  <c r="AH114" i="16"/>
  <c r="C36" i="10"/>
  <c r="D30" i="10"/>
  <c r="D18" i="10"/>
  <c r="H31" i="32" l="1"/>
  <c r="H40" i="32" s="1"/>
  <c r="E36" i="10"/>
  <c r="F68" i="10" s="1"/>
  <c r="J17" i="11"/>
  <c r="K17" i="11" s="1"/>
  <c r="I33" i="32"/>
  <c r="I34" i="32"/>
  <c r="I18" i="11"/>
  <c r="AN114" i="16"/>
  <c r="L18" i="11" s="1"/>
  <c r="D17" i="10"/>
  <c r="D36" i="10" s="1"/>
  <c r="K15" i="15"/>
  <c r="K18" i="11" l="1"/>
  <c r="K14" i="15"/>
  <c r="H30" i="32"/>
  <c r="J14" i="15" l="1"/>
  <c r="H32" i="32"/>
  <c r="G24" i="8" l="1"/>
  <c r="E52" i="19"/>
  <c r="N10" i="23"/>
  <c r="N11" i="23"/>
  <c r="N12" i="23"/>
  <c r="N13" i="23"/>
  <c r="N14" i="23"/>
  <c r="N15" i="23"/>
  <c r="N16" i="23"/>
  <c r="N19" i="23"/>
  <c r="N20" i="23"/>
  <c r="N21" i="23"/>
  <c r="N22" i="23"/>
  <c r="N24" i="23"/>
  <c r="N25" i="23"/>
  <c r="N28" i="23"/>
  <c r="N29" i="23"/>
  <c r="N30" i="23"/>
  <c r="N31" i="23"/>
  <c r="N32" i="23"/>
  <c r="N33" i="23"/>
  <c r="N34" i="23"/>
  <c r="N35" i="23"/>
  <c r="N36" i="23"/>
  <c r="N37" i="23"/>
  <c r="N38" i="23"/>
  <c r="N40" i="23"/>
  <c r="N41" i="23"/>
  <c r="N42" i="23"/>
  <c r="N43" i="23"/>
  <c r="N44" i="23"/>
  <c r="N45" i="23"/>
  <c r="N46" i="23"/>
  <c r="N47" i="23"/>
  <c r="N48" i="23"/>
  <c r="N49" i="23"/>
  <c r="N50" i="23"/>
  <c r="O50" i="23" s="1"/>
  <c r="N52" i="23"/>
  <c r="N53" i="23"/>
  <c r="N56" i="23"/>
  <c r="N57" i="23"/>
  <c r="N58" i="23"/>
  <c r="N59" i="23"/>
  <c r="N61" i="23"/>
  <c r="N62" i="23"/>
  <c r="N63" i="23"/>
  <c r="N9" i="23"/>
  <c r="K54" i="23"/>
  <c r="H55" i="23"/>
  <c r="N41" i="22"/>
  <c r="N28" i="22"/>
  <c r="H55" i="22"/>
  <c r="H56" i="22"/>
  <c r="H65" i="22" s="1"/>
  <c r="H41" i="22"/>
  <c r="H52" i="22" s="1"/>
  <c r="H16" i="22"/>
  <c r="H19" i="22" s="1"/>
  <c r="E41" i="22"/>
  <c r="D37" i="22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3" i="21"/>
  <c r="N34" i="21"/>
  <c r="N35" i="21"/>
  <c r="N36" i="21"/>
  <c r="N37" i="21"/>
  <c r="N38" i="21"/>
  <c r="N39" i="21"/>
  <c r="N40" i="21"/>
  <c r="N41" i="21"/>
  <c r="N42" i="21"/>
  <c r="N43" i="21"/>
  <c r="N44" i="21"/>
  <c r="N45" i="21"/>
  <c r="N46" i="21"/>
  <c r="N47" i="21"/>
  <c r="N48" i="21"/>
  <c r="N49" i="21"/>
  <c r="N50" i="21"/>
  <c r="N51" i="21"/>
  <c r="N52" i="21"/>
  <c r="N53" i="21"/>
  <c r="N54" i="21"/>
  <c r="N56" i="21"/>
  <c r="N57" i="21"/>
  <c r="N58" i="21"/>
  <c r="N60" i="21"/>
  <c r="N61" i="21"/>
  <c r="N62" i="21"/>
  <c r="N63" i="21"/>
  <c r="N64" i="21"/>
  <c r="N65" i="21"/>
  <c r="N66" i="21"/>
  <c r="N67" i="21"/>
  <c r="L15" i="21"/>
  <c r="L16" i="21"/>
  <c r="L17" i="21"/>
  <c r="L18" i="21"/>
  <c r="L19" i="21"/>
  <c r="L20" i="21"/>
  <c r="L21" i="21"/>
  <c r="L24" i="21"/>
  <c r="L25" i="21"/>
  <c r="L26" i="21"/>
  <c r="L27" i="21"/>
  <c r="L29" i="21"/>
  <c r="L30" i="21"/>
  <c r="L32" i="21"/>
  <c r="L33" i="21"/>
  <c r="L34" i="21"/>
  <c r="L35" i="21"/>
  <c r="L36" i="21"/>
  <c r="L37" i="21"/>
  <c r="L38" i="21"/>
  <c r="L39" i="21"/>
  <c r="L41" i="21"/>
  <c r="L42" i="21"/>
  <c r="L43" i="21"/>
  <c r="L45" i="21"/>
  <c r="L46" i="21"/>
  <c r="L47" i="21"/>
  <c r="L48" i="21"/>
  <c r="L49" i="21"/>
  <c r="L50" i="21"/>
  <c r="L51" i="21"/>
  <c r="L52" i="21"/>
  <c r="L53" i="21"/>
  <c r="L54" i="21"/>
  <c r="L56" i="21"/>
  <c r="L57" i="21"/>
  <c r="L60" i="21"/>
  <c r="L62" i="21"/>
  <c r="L63" i="21"/>
  <c r="L65" i="21"/>
  <c r="L66" i="21"/>
  <c r="L67" i="21"/>
  <c r="E55" i="21"/>
  <c r="E59" i="21"/>
  <c r="E68" i="21" s="1"/>
  <c r="E49" i="20"/>
  <c r="E45" i="20"/>
  <c r="E21" i="20"/>
  <c r="E12" i="20"/>
  <c r="E16" i="20" s="1"/>
  <c r="Q12" i="20"/>
  <c r="Q16" i="20" s="1"/>
  <c r="AC8" i="20"/>
  <c r="AC9" i="20"/>
  <c r="AC10" i="20"/>
  <c r="AC11" i="20"/>
  <c r="AC13" i="20"/>
  <c r="AC14" i="20"/>
  <c r="AC15" i="20"/>
  <c r="AC17" i="20"/>
  <c r="AC18" i="20"/>
  <c r="AC19" i="20"/>
  <c r="AC20" i="20"/>
  <c r="AC23" i="20"/>
  <c r="AC24" i="20"/>
  <c r="AC25" i="20"/>
  <c r="AC26" i="20"/>
  <c r="AC27" i="20"/>
  <c r="AC29" i="20"/>
  <c r="AC30" i="20"/>
  <c r="AC31" i="20"/>
  <c r="AC32" i="20"/>
  <c r="AC33" i="20"/>
  <c r="AC35" i="20"/>
  <c r="AC36" i="20"/>
  <c r="AC37" i="20"/>
  <c r="AC38" i="20"/>
  <c r="AC39" i="20"/>
  <c r="AC40" i="20"/>
  <c r="AC41" i="20"/>
  <c r="AC42" i="20"/>
  <c r="AC43" i="20"/>
  <c r="AC44" i="20"/>
  <c r="AC46" i="20"/>
  <c r="AC47" i="20"/>
  <c r="AC48" i="20"/>
  <c r="AC50" i="20"/>
  <c r="AC52" i="20"/>
  <c r="AC53" i="20"/>
  <c r="AC55" i="20"/>
  <c r="AB56" i="20"/>
  <c r="AA9" i="20"/>
  <c r="AA11" i="20"/>
  <c r="AA13" i="20"/>
  <c r="AA14" i="20"/>
  <c r="AA15" i="20"/>
  <c r="AA17" i="20"/>
  <c r="AA18" i="20"/>
  <c r="AA19" i="20"/>
  <c r="AA20" i="20"/>
  <c r="AA23" i="20"/>
  <c r="AA24" i="20"/>
  <c r="AA25" i="20"/>
  <c r="AA26" i="20"/>
  <c r="AA27" i="20"/>
  <c r="AA28" i="20"/>
  <c r="AA29" i="20"/>
  <c r="AA31" i="20"/>
  <c r="AA32" i="20"/>
  <c r="AA33" i="20"/>
  <c r="AA35" i="20"/>
  <c r="AA36" i="20"/>
  <c r="AA37" i="20"/>
  <c r="AA38" i="20"/>
  <c r="AA39" i="20"/>
  <c r="AA40" i="20"/>
  <c r="AA41" i="20"/>
  <c r="AA42" i="20"/>
  <c r="AA43" i="20"/>
  <c r="AA44" i="20"/>
  <c r="AA46" i="20"/>
  <c r="AA47" i="20"/>
  <c r="AA50" i="20"/>
  <c r="AA51" i="20"/>
  <c r="AA52" i="20"/>
  <c r="AA53" i="20"/>
  <c r="AA55" i="20"/>
  <c r="AA56" i="20"/>
  <c r="AA8" i="20"/>
  <c r="C9" i="32" s="1"/>
  <c r="U49" i="20"/>
  <c r="W54" i="20"/>
  <c r="U54" i="20"/>
  <c r="V54" i="20" s="1"/>
  <c r="W49" i="20"/>
  <c r="U48" i="20"/>
  <c r="W45" i="20"/>
  <c r="U30" i="20"/>
  <c r="V30" i="20" s="1"/>
  <c r="U21" i="20"/>
  <c r="V21" i="20" s="1"/>
  <c r="U12" i="20"/>
  <c r="V12" i="20" s="1"/>
  <c r="U10" i="20"/>
  <c r="V10" i="20" s="1"/>
  <c r="V8" i="20"/>
  <c r="T54" i="20"/>
  <c r="R54" i="20"/>
  <c r="S54" i="20" s="1"/>
  <c r="T49" i="20"/>
  <c r="R49" i="20"/>
  <c r="S49" i="20" s="1"/>
  <c r="R48" i="20"/>
  <c r="S48" i="20" s="1"/>
  <c r="T45" i="20"/>
  <c r="R30" i="20"/>
  <c r="S30" i="20" s="1"/>
  <c r="R22" i="20"/>
  <c r="S22" i="20" s="1"/>
  <c r="R21" i="20"/>
  <c r="S21" i="20" s="1"/>
  <c r="R12" i="20"/>
  <c r="S12" i="20" s="1"/>
  <c r="R10" i="20"/>
  <c r="S10" i="20" s="1"/>
  <c r="S8" i="20"/>
  <c r="Z54" i="20"/>
  <c r="X54" i="20"/>
  <c r="Y54" i="20" s="1"/>
  <c r="Z49" i="20"/>
  <c r="X49" i="20"/>
  <c r="Y49" i="20" s="1"/>
  <c r="X48" i="20"/>
  <c r="Y48" i="20" s="1"/>
  <c r="Z45" i="20"/>
  <c r="X30" i="20"/>
  <c r="Y30" i="20" s="1"/>
  <c r="X22" i="20"/>
  <c r="X21" i="20"/>
  <c r="X12" i="20"/>
  <c r="X10" i="20"/>
  <c r="Y10" i="20" s="1"/>
  <c r="Y8" i="20"/>
  <c r="L49" i="20"/>
  <c r="M49" i="20" s="1"/>
  <c r="I49" i="20"/>
  <c r="J49" i="20" s="1"/>
  <c r="F49" i="20"/>
  <c r="AC22" i="20"/>
  <c r="AC28" i="20"/>
  <c r="AC51" i="20"/>
  <c r="C54" i="20"/>
  <c r="D54" i="20" s="1"/>
  <c r="H26" i="4"/>
  <c r="H27" i="4"/>
  <c r="H28" i="4"/>
  <c r="H29" i="4"/>
  <c r="H30" i="4"/>
  <c r="H32" i="4"/>
  <c r="H33" i="4"/>
  <c r="H36" i="4"/>
  <c r="H37" i="4"/>
  <c r="H39" i="4"/>
  <c r="H41" i="4"/>
  <c r="H43" i="4"/>
  <c r="H44" i="4"/>
  <c r="H45" i="4"/>
  <c r="H46" i="4"/>
  <c r="H47" i="4"/>
  <c r="H49" i="4"/>
  <c r="H50" i="4"/>
  <c r="H54" i="4"/>
  <c r="H55" i="4"/>
  <c r="H56" i="4"/>
  <c r="H58" i="4"/>
  <c r="H60" i="4"/>
  <c r="H62" i="4"/>
  <c r="G17" i="13"/>
  <c r="E17" i="13"/>
  <c r="F17" i="13" s="1"/>
  <c r="X45" i="20" l="1"/>
  <c r="Y22" i="20"/>
  <c r="H25" i="4"/>
  <c r="H66" i="22"/>
  <c r="H67" i="22" s="1"/>
  <c r="U57" i="20"/>
  <c r="W57" i="20"/>
  <c r="W58" i="20" s="1"/>
  <c r="W59" i="20" s="1"/>
  <c r="U16" i="20"/>
  <c r="U45" i="20"/>
  <c r="X57" i="20"/>
  <c r="Y57" i="20" s="1"/>
  <c r="R57" i="20"/>
  <c r="S57" i="20" s="1"/>
  <c r="H38" i="4"/>
  <c r="R16" i="20"/>
  <c r="S16" i="20" s="1"/>
  <c r="T57" i="20"/>
  <c r="T58" i="20" s="1"/>
  <c r="T59" i="20" s="1"/>
  <c r="Z57" i="20"/>
  <c r="X16" i="20"/>
  <c r="E15" i="13"/>
  <c r="F15" i="13" s="1"/>
  <c r="Z59" i="20" l="1"/>
  <c r="U58" i="20"/>
  <c r="R58" i="20"/>
  <c r="X58" i="20"/>
  <c r="E11" i="15"/>
  <c r="D11" i="15"/>
  <c r="U59" i="20" l="1"/>
  <c r="R59" i="20"/>
  <c r="S59" i="20" s="1"/>
  <c r="X59" i="20"/>
  <c r="Y59" i="20" s="1"/>
  <c r="Y58" i="20"/>
  <c r="F11" i="15"/>
  <c r="H15" i="12"/>
  <c r="Z23" i="12"/>
  <c r="AA23" i="12"/>
  <c r="AF22" i="12"/>
  <c r="AE22" i="12"/>
  <c r="AD22" i="12"/>
  <c r="AF18" i="12"/>
  <c r="AE18" i="12"/>
  <c r="AD18" i="12"/>
  <c r="G20" i="12"/>
  <c r="AC12" i="12"/>
  <c r="AC16" i="12"/>
  <c r="K45" i="20"/>
  <c r="N45" i="20"/>
  <c r="Q45" i="20"/>
  <c r="I45" i="33"/>
  <c r="H45" i="33"/>
  <c r="J33" i="33"/>
  <c r="J40" i="33" s="1"/>
  <c r="H43" i="33"/>
  <c r="I43" i="33"/>
  <c r="J43" i="33"/>
  <c r="K43" i="33"/>
  <c r="L43" i="33"/>
  <c r="M43" i="33"/>
  <c r="N34" i="33"/>
  <c r="N35" i="33"/>
  <c r="N37" i="33"/>
  <c r="N38" i="33"/>
  <c r="K40" i="33"/>
  <c r="L40" i="33"/>
  <c r="M40" i="33"/>
  <c r="G36" i="33"/>
  <c r="J31" i="33"/>
  <c r="K31" i="33"/>
  <c r="L31" i="33"/>
  <c r="M31" i="33"/>
  <c r="N13" i="33"/>
  <c r="N14" i="33"/>
  <c r="N16" i="33"/>
  <c r="N15" i="33"/>
  <c r="H7" i="33"/>
  <c r="M7" i="33"/>
  <c r="G7" i="33"/>
  <c r="F20" i="33"/>
  <c r="F22" i="33"/>
  <c r="F23" i="33"/>
  <c r="F25" i="33"/>
  <c r="F26" i="33"/>
  <c r="F29" i="33"/>
  <c r="F30" i="33"/>
  <c r="O30" i="33" s="1"/>
  <c r="F19" i="33"/>
  <c r="F8" i="33"/>
  <c r="F9" i="33"/>
  <c r="F10" i="33"/>
  <c r="F11" i="33"/>
  <c r="F12" i="33"/>
  <c r="F13" i="33"/>
  <c r="F14" i="33"/>
  <c r="F15" i="33"/>
  <c r="F16" i="33"/>
  <c r="E43" i="33"/>
  <c r="F43" i="33" s="1"/>
  <c r="F42" i="33"/>
  <c r="F39" i="33"/>
  <c r="F38" i="33"/>
  <c r="F37" i="33"/>
  <c r="F35" i="33"/>
  <c r="E34" i="33"/>
  <c r="E40" i="33" s="1"/>
  <c r="F33" i="33"/>
  <c r="E27" i="33"/>
  <c r="F27" i="33" s="1"/>
  <c r="F24" i="33"/>
  <c r="E7" i="33"/>
  <c r="E17" i="33" s="1"/>
  <c r="F17" i="33" s="1"/>
  <c r="D20" i="15"/>
  <c r="E20" i="15" s="1"/>
  <c r="D22" i="15"/>
  <c r="D22" i="12" s="1"/>
  <c r="N22" i="12" s="1"/>
  <c r="L39" i="32"/>
  <c r="I19" i="15" s="1"/>
  <c r="L40" i="32"/>
  <c r="L41" i="32"/>
  <c r="I59" i="21"/>
  <c r="K59" i="21"/>
  <c r="N59" i="21" s="1"/>
  <c r="N55" i="21"/>
  <c r="F54" i="20"/>
  <c r="G54" i="20" s="1"/>
  <c r="E17" i="19"/>
  <c r="G11" i="9"/>
  <c r="F14" i="24"/>
  <c r="F7" i="24"/>
  <c r="J59" i="21" l="1"/>
  <c r="O29" i="33"/>
  <c r="F28" i="33"/>
  <c r="O28" i="33" s="1"/>
  <c r="K69" i="21"/>
  <c r="I33" i="33" s="1"/>
  <c r="I40" i="33" s="1"/>
  <c r="O38" i="33"/>
  <c r="AC45" i="20"/>
  <c r="AC34" i="20"/>
  <c r="H54" i="20"/>
  <c r="H57" i="20" s="1"/>
  <c r="AC56" i="20"/>
  <c r="K40" i="32"/>
  <c r="L42" i="32"/>
  <c r="L43" i="32"/>
  <c r="O37" i="33"/>
  <c r="O35" i="33"/>
  <c r="O13" i="33"/>
  <c r="E22" i="15"/>
  <c r="E22" i="12" s="1"/>
  <c r="O22" i="12" s="1"/>
  <c r="O14" i="33"/>
  <c r="O15" i="33"/>
  <c r="F36" i="33"/>
  <c r="O16" i="33"/>
  <c r="F7" i="33"/>
  <c r="E31" i="33"/>
  <c r="F31" i="33" s="1"/>
  <c r="F34" i="33"/>
  <c r="J19" i="15"/>
  <c r="U19" i="12" s="1"/>
  <c r="K19" i="15"/>
  <c r="V19" i="12" s="1"/>
  <c r="J39" i="32"/>
  <c r="I16" i="15" s="1"/>
  <c r="J40" i="32"/>
  <c r="J41" i="32"/>
  <c r="K39" i="32"/>
  <c r="K41" i="32"/>
  <c r="D23" i="32"/>
  <c r="E23" i="32"/>
  <c r="E22" i="32"/>
  <c r="E21" i="32"/>
  <c r="D22" i="32"/>
  <c r="D21" i="32"/>
  <c r="D8" i="32"/>
  <c r="D6" i="32"/>
  <c r="D12" i="12"/>
  <c r="E12" i="12"/>
  <c r="O12" i="12" s="1"/>
  <c r="M12" i="12"/>
  <c r="D15" i="12"/>
  <c r="N15" i="12" s="1"/>
  <c r="E15" i="12"/>
  <c r="O15" i="12" s="1"/>
  <c r="D16" i="12"/>
  <c r="N16" i="12" s="1"/>
  <c r="E16" i="12"/>
  <c r="O16" i="12" s="1"/>
  <c r="N12" i="12" l="1"/>
  <c r="Q12" i="12" s="1"/>
  <c r="F12" i="12"/>
  <c r="H58" i="20"/>
  <c r="Q16" i="12"/>
  <c r="W19" i="12"/>
  <c r="AF19" i="12"/>
  <c r="Q15" i="12"/>
  <c r="G16" i="12"/>
  <c r="K16" i="15"/>
  <c r="V16" i="12" s="1"/>
  <c r="J42" i="32"/>
  <c r="X19" i="12"/>
  <c r="AE19" i="12"/>
  <c r="G15" i="12"/>
  <c r="G12" i="12"/>
  <c r="K42" i="32"/>
  <c r="K43" i="32"/>
  <c r="O34" i="33"/>
  <c r="F40" i="33"/>
  <c r="F47" i="33" s="1"/>
  <c r="E47" i="33"/>
  <c r="J43" i="32"/>
  <c r="J16" i="15"/>
  <c r="L19" i="15"/>
  <c r="AH19" i="12" l="1"/>
  <c r="H59" i="20"/>
  <c r="L11" i="33" s="1"/>
  <c r="K14" i="11"/>
  <c r="AF16" i="12"/>
  <c r="L16" i="15"/>
  <c r="U16" i="12"/>
  <c r="W16" i="12" s="1"/>
  <c r="AG19" i="12"/>
  <c r="N11" i="33" l="1"/>
  <c r="O11" i="33" s="1"/>
  <c r="L7" i="33"/>
  <c r="L17" i="33" s="1"/>
  <c r="L47" i="33" s="1"/>
  <c r="X16" i="12"/>
  <c r="AH16" i="12" s="1"/>
  <c r="AE16" i="12"/>
  <c r="O15" i="11" l="1"/>
  <c r="N12" i="11"/>
  <c r="O12" i="11"/>
  <c r="N14" i="11"/>
  <c r="I10" i="12" s="1"/>
  <c r="O14" i="11"/>
  <c r="J10" i="12" s="1"/>
  <c r="N16" i="11"/>
  <c r="O16" i="11"/>
  <c r="O17" i="11"/>
  <c r="J18" i="12" s="1"/>
  <c r="E19" i="11" l="1"/>
  <c r="Z15" i="12"/>
  <c r="Z13" i="12"/>
  <c r="J11" i="12"/>
  <c r="K10" i="12"/>
  <c r="L10" i="12"/>
  <c r="I11" i="12"/>
  <c r="Q12" i="11"/>
  <c r="AA15" i="12"/>
  <c r="AA13" i="12"/>
  <c r="J14" i="12"/>
  <c r="P14" i="11"/>
  <c r="Q14" i="11"/>
  <c r="F9" i="11"/>
  <c r="N9" i="11"/>
  <c r="Z10" i="12" s="1"/>
  <c r="C11" i="24"/>
  <c r="D11" i="24" s="1"/>
  <c r="C22" i="32" s="1"/>
  <c r="N22" i="32" s="1"/>
  <c r="D17" i="32"/>
  <c r="Q15" i="22"/>
  <c r="Q17" i="22"/>
  <c r="Q18" i="22"/>
  <c r="Q20" i="22"/>
  <c r="Q21" i="22"/>
  <c r="Q22" i="22"/>
  <c r="Q23" i="22"/>
  <c r="Q24" i="22"/>
  <c r="Q25" i="22"/>
  <c r="Q26" i="22"/>
  <c r="Q27" i="22"/>
  <c r="Q29" i="22"/>
  <c r="Q30" i="22"/>
  <c r="Q31" i="22"/>
  <c r="Q32" i="22"/>
  <c r="Q33" i="22"/>
  <c r="Q34" i="22"/>
  <c r="Q35" i="22"/>
  <c r="Q36" i="22"/>
  <c r="Q38" i="22"/>
  <c r="Q39" i="22"/>
  <c r="Q40" i="22"/>
  <c r="Q42" i="22"/>
  <c r="Q43" i="22"/>
  <c r="Q44" i="22"/>
  <c r="Q45" i="22"/>
  <c r="Q46" i="22"/>
  <c r="Q47" i="22"/>
  <c r="Q48" i="22"/>
  <c r="Q49" i="22"/>
  <c r="Q50" i="22"/>
  <c r="Q51" i="22"/>
  <c r="Q53" i="22"/>
  <c r="Q54" i="22"/>
  <c r="Q57" i="22"/>
  <c r="Q58" i="22"/>
  <c r="Q59" i="22"/>
  <c r="Q60" i="22"/>
  <c r="Q61" i="22"/>
  <c r="Q62" i="22"/>
  <c r="Q63" i="22"/>
  <c r="Q64" i="22"/>
  <c r="O10" i="22"/>
  <c r="O11" i="22"/>
  <c r="O15" i="22"/>
  <c r="O17" i="22"/>
  <c r="O18" i="22"/>
  <c r="O21" i="22"/>
  <c r="O22" i="22"/>
  <c r="O23" i="22"/>
  <c r="O24" i="22"/>
  <c r="O26" i="22"/>
  <c r="O27" i="22"/>
  <c r="O30" i="22"/>
  <c r="O31" i="22"/>
  <c r="O32" i="22"/>
  <c r="O33" i="22"/>
  <c r="O34" i="22"/>
  <c r="O35" i="22"/>
  <c r="O36" i="22"/>
  <c r="O38" i="22"/>
  <c r="O39" i="22"/>
  <c r="O40" i="22"/>
  <c r="O42" i="22"/>
  <c r="O43" i="22"/>
  <c r="O44" i="22"/>
  <c r="O45" i="22"/>
  <c r="O46" i="22"/>
  <c r="O47" i="22"/>
  <c r="O48" i="22"/>
  <c r="O49" i="22"/>
  <c r="O50" i="22"/>
  <c r="O51" i="22"/>
  <c r="O53" i="22"/>
  <c r="O54" i="22"/>
  <c r="O57" i="22"/>
  <c r="O58" i="22"/>
  <c r="O59" i="22"/>
  <c r="O60" i="22"/>
  <c r="O62" i="22"/>
  <c r="O63" i="22"/>
  <c r="O64" i="22"/>
  <c r="E28" i="22"/>
  <c r="Q28" i="22" s="1"/>
  <c r="P58" i="22"/>
  <c r="J8" i="22"/>
  <c r="P26" i="22"/>
  <c r="P57" i="22"/>
  <c r="M15" i="21"/>
  <c r="M16" i="21"/>
  <c r="M17" i="21"/>
  <c r="M18" i="21"/>
  <c r="O18" i="21" s="1"/>
  <c r="M19" i="21"/>
  <c r="M20" i="21"/>
  <c r="M21" i="21"/>
  <c r="M24" i="21"/>
  <c r="M25" i="21"/>
  <c r="M26" i="21"/>
  <c r="O26" i="21" s="1"/>
  <c r="M27" i="21"/>
  <c r="M29" i="21"/>
  <c r="M30" i="21"/>
  <c r="O30" i="21" s="1"/>
  <c r="M32" i="21"/>
  <c r="M33" i="21"/>
  <c r="O33" i="21" s="1"/>
  <c r="M34" i="21"/>
  <c r="O34" i="21" s="1"/>
  <c r="M35" i="21"/>
  <c r="M62" i="21"/>
  <c r="E54" i="20"/>
  <c r="P8" i="20"/>
  <c r="J8" i="20"/>
  <c r="G8" i="20"/>
  <c r="D9" i="32"/>
  <c r="D9" i="20"/>
  <c r="D8" i="20"/>
  <c r="G67" i="19"/>
  <c r="G15" i="19"/>
  <c r="G16" i="19"/>
  <c r="G21" i="19"/>
  <c r="G27" i="19"/>
  <c r="G46" i="19"/>
  <c r="E25" i="19"/>
  <c r="C21" i="32" l="1"/>
  <c r="N21" i="32" s="1"/>
  <c r="G11" i="24"/>
  <c r="AB53" i="20"/>
  <c r="AB41" i="20"/>
  <c r="AB37" i="20"/>
  <c r="AB50" i="20"/>
  <c r="AB26" i="20"/>
  <c r="AB46" i="20"/>
  <c r="AB32" i="20"/>
  <c r="AB17" i="20"/>
  <c r="AB11" i="20"/>
  <c r="AB28" i="20"/>
  <c r="AB44" i="20"/>
  <c r="AB25" i="20"/>
  <c r="AB40" i="20"/>
  <c r="AB36" i="20"/>
  <c r="AB52" i="20"/>
  <c r="AB31" i="20"/>
  <c r="AB20" i="20"/>
  <c r="AB9" i="20"/>
  <c r="D10" i="32" s="1"/>
  <c r="AB8" i="20"/>
  <c r="C10" i="32" s="1"/>
  <c r="AB43" i="20"/>
  <c r="AB39" i="20"/>
  <c r="AB35" i="20"/>
  <c r="AB29" i="20"/>
  <c r="AB24" i="20"/>
  <c r="AB19" i="20"/>
  <c r="AB14" i="20"/>
  <c r="AB15" i="20"/>
  <c r="AB55" i="20"/>
  <c r="AB47" i="20"/>
  <c r="AB42" i="20"/>
  <c r="AB38" i="20"/>
  <c r="AB33" i="20"/>
  <c r="AB27" i="20"/>
  <c r="AB23" i="20"/>
  <c r="AB18" i="20"/>
  <c r="AB13" i="20"/>
  <c r="M60" i="21"/>
  <c r="O60" i="21" s="1"/>
  <c r="M53" i="21"/>
  <c r="O53" i="21" s="1"/>
  <c r="M49" i="21"/>
  <c r="O49" i="21" s="1"/>
  <c r="M45" i="21"/>
  <c r="O45" i="21" s="1"/>
  <c r="H17" i="33"/>
  <c r="M41" i="21"/>
  <c r="O41" i="21" s="1"/>
  <c r="Q37" i="22"/>
  <c r="M37" i="21"/>
  <c r="O37" i="21" s="1"/>
  <c r="M67" i="21"/>
  <c r="O67" i="21" s="1"/>
  <c r="M50" i="21"/>
  <c r="O50" i="21" s="1"/>
  <c r="M46" i="21"/>
  <c r="O46" i="21" s="1"/>
  <c r="M39" i="21"/>
  <c r="O39" i="21" s="1"/>
  <c r="C23" i="32"/>
  <c r="N23" i="32" s="1"/>
  <c r="F11" i="24"/>
  <c r="G8" i="9"/>
  <c r="L11" i="12"/>
  <c r="K11" i="12"/>
  <c r="J17" i="12"/>
  <c r="AC13" i="12"/>
  <c r="M54" i="21"/>
  <c r="O54" i="21" s="1"/>
  <c r="M57" i="21"/>
  <c r="O57" i="21" s="1"/>
  <c r="M52" i="21"/>
  <c r="O52" i="21" s="1"/>
  <c r="M48" i="21"/>
  <c r="O48" i="21" s="1"/>
  <c r="M43" i="21"/>
  <c r="O43" i="21" s="1"/>
  <c r="M38" i="21"/>
  <c r="O38" i="21" s="1"/>
  <c r="G9" i="9"/>
  <c r="AC15" i="12"/>
  <c r="M56" i="21"/>
  <c r="O56" i="21" s="1"/>
  <c r="M51" i="21"/>
  <c r="O51" i="21" s="1"/>
  <c r="M47" i="21"/>
  <c r="O47" i="21" s="1"/>
  <c r="M42" i="21"/>
  <c r="O42" i="21" s="1"/>
  <c r="J19" i="12"/>
  <c r="M63" i="21"/>
  <c r="O63" i="21" s="1"/>
  <c r="M61" i="21"/>
  <c r="O61" i="21" s="1"/>
  <c r="M66" i="21"/>
  <c r="O66" i="21" s="1"/>
  <c r="M65" i="21"/>
  <c r="O65" i="21" s="1"/>
  <c r="O62" i="21"/>
  <c r="O29" i="21"/>
  <c r="O25" i="21"/>
  <c r="O21" i="21"/>
  <c r="O17" i="21"/>
  <c r="O24" i="21"/>
  <c r="O35" i="21"/>
  <c r="O27" i="21"/>
  <c r="O19" i="21"/>
  <c r="O15" i="21"/>
  <c r="O32" i="21"/>
  <c r="O20" i="21"/>
  <c r="O16" i="21"/>
  <c r="O9" i="11"/>
  <c r="Q9" i="11" l="1"/>
  <c r="AA10" i="12"/>
  <c r="G7" i="9"/>
  <c r="F8" i="11"/>
  <c r="P9" i="11"/>
  <c r="O11" i="11"/>
  <c r="AA14" i="12" s="1"/>
  <c r="H31" i="33" l="1"/>
  <c r="AB10" i="12"/>
  <c r="AC10" i="12"/>
  <c r="N27" i="33"/>
  <c r="O27" i="33" s="1"/>
  <c r="I31" i="33"/>
  <c r="AA9" i="12"/>
  <c r="E13" i="11"/>
  <c r="N10" i="11" l="1"/>
  <c r="Z11" i="12" s="1"/>
  <c r="J13" i="11"/>
  <c r="G31" i="33"/>
  <c r="N24" i="33"/>
  <c r="O10" i="11"/>
  <c r="F10" i="11"/>
  <c r="O13" i="11" l="1"/>
  <c r="AA11" i="12"/>
  <c r="N31" i="33"/>
  <c r="O24" i="33"/>
  <c r="O31" i="33" s="1"/>
  <c r="Q10" i="11"/>
  <c r="P10" i="11"/>
  <c r="G10" i="19"/>
  <c r="G23" i="19"/>
  <c r="G33" i="19"/>
  <c r="G34" i="19"/>
  <c r="G41" i="19"/>
  <c r="G49" i="19"/>
  <c r="G55" i="19"/>
  <c r="G56" i="19"/>
  <c r="G60" i="19"/>
  <c r="H22" i="13"/>
  <c r="H23" i="13"/>
  <c r="H9" i="13"/>
  <c r="H14" i="13"/>
  <c r="H18" i="13"/>
  <c r="G15" i="13"/>
  <c r="H11" i="13"/>
  <c r="H7" i="13"/>
  <c r="E14" i="15" l="1"/>
  <c r="E14" i="12" s="1"/>
  <c r="O14" i="12" s="1"/>
  <c r="F56" i="19"/>
  <c r="F55" i="19"/>
  <c r="AB11" i="12"/>
  <c r="AA17" i="12"/>
  <c r="AA24" i="12" s="1"/>
  <c r="F49" i="19"/>
  <c r="F10" i="19"/>
  <c r="F60" i="19"/>
  <c r="F41" i="19"/>
  <c r="AC11" i="12"/>
  <c r="F59" i="19"/>
  <c r="G59" i="19"/>
  <c r="F54" i="19"/>
  <c r="G54" i="19"/>
  <c r="G45" i="19"/>
  <c r="F40" i="19"/>
  <c r="G40" i="19"/>
  <c r="F35" i="19"/>
  <c r="G35" i="19"/>
  <c r="F29" i="19"/>
  <c r="G29" i="19"/>
  <c r="F62" i="19"/>
  <c r="G62" i="19"/>
  <c r="F58" i="19"/>
  <c r="G58" i="19"/>
  <c r="F53" i="19"/>
  <c r="G53" i="19"/>
  <c r="G44" i="19"/>
  <c r="G38" i="19"/>
  <c r="F26" i="19"/>
  <c r="G26" i="19"/>
  <c r="F61" i="19"/>
  <c r="G61" i="19"/>
  <c r="F50" i="19"/>
  <c r="G50" i="19"/>
  <c r="G43" i="19"/>
  <c r="F37" i="19"/>
  <c r="G37" i="19"/>
  <c r="F12" i="19"/>
  <c r="G12" i="19"/>
  <c r="G36" i="19"/>
  <c r="G32" i="19"/>
  <c r="H8" i="13"/>
  <c r="H15" i="13"/>
  <c r="H16" i="13"/>
  <c r="E14" i="14"/>
  <c r="H53" i="4" l="1"/>
  <c r="E54" i="23"/>
  <c r="N54" i="23" s="1"/>
  <c r="F54" i="23"/>
  <c r="G54" i="23" s="1"/>
  <c r="E55" i="23"/>
  <c r="F55" i="23"/>
  <c r="G55" i="23" s="1"/>
  <c r="H64" i="23"/>
  <c r="K55" i="23"/>
  <c r="K64" i="23" s="1"/>
  <c r="E51" i="23"/>
  <c r="I39" i="23"/>
  <c r="J39" i="23" s="1"/>
  <c r="K39" i="23"/>
  <c r="N39" i="23" s="1"/>
  <c r="F27" i="23"/>
  <c r="G27" i="23" s="1"/>
  <c r="H27" i="23"/>
  <c r="I27" i="23"/>
  <c r="J27" i="23" s="1"/>
  <c r="K27" i="23"/>
  <c r="E23" i="23"/>
  <c r="F23" i="23"/>
  <c r="G23" i="23" s="1"/>
  <c r="H23" i="23"/>
  <c r="I23" i="23"/>
  <c r="J23" i="23" s="1"/>
  <c r="K23" i="23"/>
  <c r="E18" i="23"/>
  <c r="F18" i="23"/>
  <c r="G18" i="23" s="1"/>
  <c r="H18" i="23"/>
  <c r="I18" i="23"/>
  <c r="J18" i="23" s="1"/>
  <c r="K18" i="23"/>
  <c r="L10" i="23"/>
  <c r="M10" i="23" s="1"/>
  <c r="L11" i="23"/>
  <c r="M11" i="23" s="1"/>
  <c r="L12" i="23"/>
  <c r="M12" i="23" s="1"/>
  <c r="L13" i="23"/>
  <c r="M13" i="23" s="1"/>
  <c r="L14" i="23"/>
  <c r="M14" i="23" s="1"/>
  <c r="L15" i="23"/>
  <c r="M15" i="23" s="1"/>
  <c r="L16" i="23"/>
  <c r="M16" i="23" s="1"/>
  <c r="L19" i="23"/>
  <c r="M19" i="23" s="1"/>
  <c r="L20" i="23"/>
  <c r="M20" i="23" s="1"/>
  <c r="L21" i="23"/>
  <c r="M21" i="23" s="1"/>
  <c r="L22" i="23"/>
  <c r="M22" i="23" s="1"/>
  <c r="L24" i="23"/>
  <c r="M24" i="23" s="1"/>
  <c r="L25" i="23"/>
  <c r="M25" i="23" s="1"/>
  <c r="L28" i="23"/>
  <c r="M28" i="23" s="1"/>
  <c r="L29" i="23"/>
  <c r="M29" i="23" s="1"/>
  <c r="L30" i="23"/>
  <c r="M30" i="23" s="1"/>
  <c r="L31" i="23"/>
  <c r="M31" i="23" s="1"/>
  <c r="L32" i="23"/>
  <c r="M32" i="23" s="1"/>
  <c r="L33" i="23"/>
  <c r="M33" i="23" s="1"/>
  <c r="L34" i="23"/>
  <c r="M34" i="23" s="1"/>
  <c r="L36" i="23"/>
  <c r="M36" i="23" s="1"/>
  <c r="L37" i="23"/>
  <c r="M37" i="23" s="1"/>
  <c r="L38" i="23"/>
  <c r="M38" i="23" s="1"/>
  <c r="L40" i="23"/>
  <c r="M40" i="23" s="1"/>
  <c r="L41" i="23"/>
  <c r="M41" i="23" s="1"/>
  <c r="L42" i="23"/>
  <c r="M42" i="23" s="1"/>
  <c r="L43" i="23"/>
  <c r="M43" i="23" s="1"/>
  <c r="L44" i="23"/>
  <c r="M44" i="23" s="1"/>
  <c r="L45" i="23"/>
  <c r="M45" i="23" s="1"/>
  <c r="L46" i="23"/>
  <c r="M46" i="23" s="1"/>
  <c r="L47" i="23"/>
  <c r="M47" i="23" s="1"/>
  <c r="L48" i="23"/>
  <c r="M48" i="23" s="1"/>
  <c r="L49" i="23"/>
  <c r="M49" i="23" s="1"/>
  <c r="L52" i="23"/>
  <c r="M52" i="23" s="1"/>
  <c r="L56" i="23"/>
  <c r="M56" i="23" s="1"/>
  <c r="L58" i="23"/>
  <c r="M58" i="23" s="1"/>
  <c r="L59" i="23"/>
  <c r="M59" i="23" s="1"/>
  <c r="L61" i="23"/>
  <c r="M61" i="23" s="1"/>
  <c r="L62" i="23"/>
  <c r="M62" i="23" s="1"/>
  <c r="L63" i="23"/>
  <c r="M63" i="23" s="1"/>
  <c r="E7" i="23"/>
  <c r="F7" i="23"/>
  <c r="G7" i="23" s="1"/>
  <c r="H7" i="23"/>
  <c r="H17" i="23" s="1"/>
  <c r="I7" i="23"/>
  <c r="K7" i="23"/>
  <c r="K17" i="23" s="1"/>
  <c r="E56" i="22"/>
  <c r="E65" i="22" s="1"/>
  <c r="K65" i="22"/>
  <c r="L56" i="22"/>
  <c r="M56" i="22" s="1"/>
  <c r="E16" i="22"/>
  <c r="E14" i="22"/>
  <c r="Q14" i="22" s="1"/>
  <c r="N56" i="22"/>
  <c r="N65" i="22" s="1"/>
  <c r="K41" i="22"/>
  <c r="K52" i="22" s="1"/>
  <c r="R10" i="22"/>
  <c r="R15" i="22"/>
  <c r="R17" i="22"/>
  <c r="R18" i="22"/>
  <c r="R21" i="22"/>
  <c r="R22" i="22"/>
  <c r="R23" i="22"/>
  <c r="R24" i="22"/>
  <c r="R26" i="22"/>
  <c r="R27" i="22"/>
  <c r="R30" i="22"/>
  <c r="R31" i="22"/>
  <c r="R32" i="22"/>
  <c r="R33" i="22"/>
  <c r="R34" i="22"/>
  <c r="R35" i="22"/>
  <c r="R36" i="22"/>
  <c r="R38" i="22"/>
  <c r="R39" i="22"/>
  <c r="R40" i="22"/>
  <c r="R42" i="22"/>
  <c r="R43" i="22"/>
  <c r="R44" i="22"/>
  <c r="R45" i="22"/>
  <c r="R46" i="22"/>
  <c r="R47" i="22"/>
  <c r="R48" i="22"/>
  <c r="R49" i="22"/>
  <c r="R50" i="22"/>
  <c r="R51" i="22"/>
  <c r="R53" i="22"/>
  <c r="R54" i="22"/>
  <c r="R57" i="22"/>
  <c r="E55" i="22"/>
  <c r="Q55" i="22" s="1"/>
  <c r="E52" i="22"/>
  <c r="E51" i="19"/>
  <c r="E31" i="19"/>
  <c r="E28" i="19"/>
  <c r="E20" i="19"/>
  <c r="E24" i="19" s="1"/>
  <c r="E13" i="19"/>
  <c r="D11" i="32"/>
  <c r="D41" i="32" s="1"/>
  <c r="K9" i="15" s="1"/>
  <c r="V10" i="12" s="1"/>
  <c r="AF10" i="12" s="1"/>
  <c r="C11" i="32"/>
  <c r="AC54" i="20"/>
  <c r="Q49" i="20"/>
  <c r="N21" i="20"/>
  <c r="AC21" i="20" s="1"/>
  <c r="N49" i="20"/>
  <c r="N57" i="20" s="1"/>
  <c r="N12" i="20"/>
  <c r="N16" i="20" s="1"/>
  <c r="AC16" i="20" s="1"/>
  <c r="K49" i="20"/>
  <c r="E57" i="20"/>
  <c r="E58" i="20" s="1"/>
  <c r="F12" i="20"/>
  <c r="I12" i="20"/>
  <c r="J12" i="20" s="1"/>
  <c r="L12" i="20"/>
  <c r="M12" i="20" s="1"/>
  <c r="O12" i="20"/>
  <c r="F14" i="21"/>
  <c r="N14" i="21"/>
  <c r="E69" i="21"/>
  <c r="H36" i="33" s="1"/>
  <c r="F59" i="21"/>
  <c r="N68" i="21"/>
  <c r="E13" i="24"/>
  <c r="G8" i="8"/>
  <c r="G9" i="8"/>
  <c r="G10" i="8"/>
  <c r="G12" i="8"/>
  <c r="G13" i="8"/>
  <c r="G14" i="8"/>
  <c r="G15" i="8"/>
  <c r="G16" i="8"/>
  <c r="G17" i="8"/>
  <c r="G18" i="8"/>
  <c r="G19" i="8"/>
  <c r="G20" i="8"/>
  <c r="G21" i="8"/>
  <c r="G22" i="8"/>
  <c r="G23" i="8"/>
  <c r="G14" i="9"/>
  <c r="G15" i="9"/>
  <c r="G16" i="9"/>
  <c r="G17" i="9"/>
  <c r="G18" i="9"/>
  <c r="G29" i="9"/>
  <c r="G30" i="9"/>
  <c r="G35" i="9"/>
  <c r="G57" i="4"/>
  <c r="G61" i="4" s="1"/>
  <c r="G63" i="4" s="1"/>
  <c r="N18" i="23" l="1"/>
  <c r="H51" i="23"/>
  <c r="N27" i="23"/>
  <c r="N55" i="23"/>
  <c r="N23" i="23"/>
  <c r="AC12" i="20"/>
  <c r="K57" i="20"/>
  <c r="K58" i="20" s="1"/>
  <c r="K59" i="20" s="1"/>
  <c r="J9" i="33" s="1"/>
  <c r="AC49" i="20"/>
  <c r="E59" i="20"/>
  <c r="M12" i="33" s="1"/>
  <c r="I41" i="32"/>
  <c r="N32" i="32"/>
  <c r="F69" i="21"/>
  <c r="Q41" i="22"/>
  <c r="Q56" i="22"/>
  <c r="O58" i="23"/>
  <c r="O48" i="23"/>
  <c r="O46" i="23"/>
  <c r="O44" i="23"/>
  <c r="O42" i="23"/>
  <c r="O40" i="23"/>
  <c r="K26" i="23"/>
  <c r="E26" i="23"/>
  <c r="Q65" i="22"/>
  <c r="O63" i="23"/>
  <c r="O61" i="23"/>
  <c r="O25" i="23"/>
  <c r="O22" i="23"/>
  <c r="O20" i="23"/>
  <c r="F26" i="32"/>
  <c r="Q16" i="22"/>
  <c r="Q58" i="20"/>
  <c r="Q59" i="20" s="1"/>
  <c r="I8" i="33" s="1"/>
  <c r="N58" i="20"/>
  <c r="E48" i="19"/>
  <c r="H39" i="33"/>
  <c r="N39" i="33" s="1"/>
  <c r="O39" i="33" s="1"/>
  <c r="G14" i="21"/>
  <c r="O37" i="23"/>
  <c r="F26" i="23"/>
  <c r="G26" i="23" s="1"/>
  <c r="O62" i="23"/>
  <c r="H26" i="23"/>
  <c r="O34" i="23"/>
  <c r="O32" i="23"/>
  <c r="O30" i="23"/>
  <c r="O28" i="23"/>
  <c r="O24" i="23"/>
  <c r="O21" i="23"/>
  <c r="O19" i="23"/>
  <c r="O52" i="23"/>
  <c r="O59" i="23"/>
  <c r="O49" i="23"/>
  <c r="O47" i="23"/>
  <c r="O45" i="23"/>
  <c r="O43" i="23"/>
  <c r="O41" i="23"/>
  <c r="K51" i="23"/>
  <c r="O38" i="23"/>
  <c r="O36" i="23"/>
  <c r="O31" i="23"/>
  <c r="O29" i="23"/>
  <c r="I51" i="23"/>
  <c r="J51" i="23" s="1"/>
  <c r="F51" i="23"/>
  <c r="G51" i="23" s="1"/>
  <c r="I17" i="23"/>
  <c r="J17" i="23" s="1"/>
  <c r="J7" i="23"/>
  <c r="R64" i="22"/>
  <c r="R63" i="22"/>
  <c r="R60" i="22"/>
  <c r="R59" i="22"/>
  <c r="R62" i="22"/>
  <c r="R58" i="22"/>
  <c r="E30" i="19"/>
  <c r="H17" i="13"/>
  <c r="K66" i="22"/>
  <c r="N52" i="22"/>
  <c r="Q52" i="22" s="1"/>
  <c r="E19" i="22"/>
  <c r="N7" i="23"/>
  <c r="E17" i="23"/>
  <c r="N17" i="23" s="1"/>
  <c r="E18" i="19"/>
  <c r="C8" i="32" s="1"/>
  <c r="I26" i="23"/>
  <c r="J26" i="23" s="1"/>
  <c r="E64" i="23"/>
  <c r="N64" i="23" s="1"/>
  <c r="N69" i="21" l="1"/>
  <c r="E14" i="32" s="1"/>
  <c r="N14" i="32" s="1"/>
  <c r="E65" i="19"/>
  <c r="E66" i="19" s="1"/>
  <c r="E9" i="15"/>
  <c r="E10" i="12" s="1"/>
  <c r="N51" i="23"/>
  <c r="K65" i="23"/>
  <c r="N26" i="23"/>
  <c r="AC58" i="20"/>
  <c r="AC57" i="20"/>
  <c r="N35" i="32"/>
  <c r="F41" i="32"/>
  <c r="G33" i="33"/>
  <c r="N26" i="32"/>
  <c r="Q19" i="22"/>
  <c r="H41" i="32"/>
  <c r="V14" i="12" s="1"/>
  <c r="N59" i="20"/>
  <c r="K10" i="33" s="1"/>
  <c r="N8" i="33"/>
  <c r="O8" i="33" s="1"/>
  <c r="I7" i="33"/>
  <c r="N9" i="33"/>
  <c r="O9" i="33" s="1"/>
  <c r="J7" i="33"/>
  <c r="J17" i="33" s="1"/>
  <c r="J47" i="33" s="1"/>
  <c r="N36" i="33"/>
  <c r="H40" i="33"/>
  <c r="H47" i="33" s="1"/>
  <c r="N29" i="32"/>
  <c r="E65" i="23"/>
  <c r="N66" i="22"/>
  <c r="K67" i="22"/>
  <c r="E66" i="22"/>
  <c r="E67" i="22" s="1"/>
  <c r="H65" i="23"/>
  <c r="H48" i="4" l="1"/>
  <c r="N8" i="32"/>
  <c r="G6" i="33" s="1"/>
  <c r="G42" i="33"/>
  <c r="G43" i="33" s="1"/>
  <c r="N65" i="23"/>
  <c r="E20" i="32" s="1"/>
  <c r="AC59" i="20"/>
  <c r="Q66" i="22"/>
  <c r="E17" i="32" s="1"/>
  <c r="N17" i="32" s="1"/>
  <c r="V15" i="12"/>
  <c r="K11" i="15"/>
  <c r="G40" i="33"/>
  <c r="N33" i="33"/>
  <c r="O33" i="33" s="1"/>
  <c r="N10" i="33"/>
  <c r="O10" i="33" s="1"/>
  <c r="K7" i="33"/>
  <c r="K17" i="33" s="1"/>
  <c r="K47" i="33" s="1"/>
  <c r="E11" i="32"/>
  <c r="N11" i="32" s="1"/>
  <c r="G68" i="19"/>
  <c r="O10" i="12"/>
  <c r="AF14" i="12"/>
  <c r="I17" i="33"/>
  <c r="I47" i="33" s="1"/>
  <c r="O36" i="33"/>
  <c r="Q67" i="22"/>
  <c r="K12" i="15"/>
  <c r="V13" i="12" s="1"/>
  <c r="F8" i="14"/>
  <c r="F9" i="14"/>
  <c r="F10" i="14"/>
  <c r="F12" i="14"/>
  <c r="F15" i="14"/>
  <c r="F19" i="14"/>
  <c r="E16" i="14"/>
  <c r="B11" i="28"/>
  <c r="O8" i="22"/>
  <c r="F14" i="14"/>
  <c r="H52" i="4" l="1"/>
  <c r="E8" i="15"/>
  <c r="E12" i="15"/>
  <c r="N6" i="33"/>
  <c r="N42" i="33"/>
  <c r="N43" i="33" s="1"/>
  <c r="O40" i="33"/>
  <c r="N40" i="33"/>
  <c r="V12" i="12"/>
  <c r="AF13" i="12"/>
  <c r="AF15" i="12"/>
  <c r="N7" i="33"/>
  <c r="O7" i="33" s="1"/>
  <c r="N12" i="33"/>
  <c r="M17" i="33"/>
  <c r="M47" i="33" s="1"/>
  <c r="M36" i="21"/>
  <c r="N20" i="32"/>
  <c r="D8" i="22"/>
  <c r="D15" i="26"/>
  <c r="C22" i="12"/>
  <c r="M22" i="12" s="1"/>
  <c r="C39" i="19"/>
  <c r="D39" i="19" s="1"/>
  <c r="K14" i="30"/>
  <c r="J13" i="30"/>
  <c r="J14" i="30" s="1"/>
  <c r="I13" i="30"/>
  <c r="I14" i="30" s="1"/>
  <c r="H13" i="30"/>
  <c r="H14" i="30" s="1"/>
  <c r="G13" i="30"/>
  <c r="G14" i="30" s="1"/>
  <c r="F13" i="30"/>
  <c r="F14" i="30" s="1"/>
  <c r="E13" i="30"/>
  <c r="E14" i="30" s="1"/>
  <c r="D13" i="30"/>
  <c r="D14" i="30" s="1"/>
  <c r="C13" i="30"/>
  <c r="L13" i="30"/>
  <c r="L14" i="30" s="1"/>
  <c r="L10" i="30"/>
  <c r="F10" i="30"/>
  <c r="E10" i="30"/>
  <c r="D10" i="30"/>
  <c r="C10" i="30"/>
  <c r="G33" i="29"/>
  <c r="G32" i="29"/>
  <c r="G31" i="29"/>
  <c r="G30" i="29"/>
  <c r="G29" i="29"/>
  <c r="G28" i="29"/>
  <c r="G27" i="29"/>
  <c r="F26" i="29"/>
  <c r="E26" i="29"/>
  <c r="D26" i="29"/>
  <c r="C26" i="29"/>
  <c r="G25" i="29"/>
  <c r="G24" i="29"/>
  <c r="G23" i="29"/>
  <c r="G22" i="29"/>
  <c r="G21" i="29"/>
  <c r="G20" i="29"/>
  <c r="G19" i="29"/>
  <c r="F18" i="29"/>
  <c r="E18" i="29"/>
  <c r="D18" i="29"/>
  <c r="C18" i="29"/>
  <c r="G15" i="29"/>
  <c r="G14" i="29"/>
  <c r="G13" i="29"/>
  <c r="D12" i="29"/>
  <c r="E12" i="29" s="1"/>
  <c r="E11" i="29"/>
  <c r="F11" i="29" s="1"/>
  <c r="G11" i="29" s="1"/>
  <c r="D10" i="29"/>
  <c r="E10" i="29" s="1"/>
  <c r="C11" i="28"/>
  <c r="N18" i="26"/>
  <c r="P8" i="22" l="1"/>
  <c r="R8" i="22" s="1"/>
  <c r="E9" i="12"/>
  <c r="E10" i="15"/>
  <c r="E17" i="15" s="1"/>
  <c r="G17" i="33"/>
  <c r="G47" i="33" s="1"/>
  <c r="O42" i="33"/>
  <c r="O43" i="33" s="1"/>
  <c r="E34" i="29"/>
  <c r="AF12" i="12"/>
  <c r="E13" i="12"/>
  <c r="O12" i="33"/>
  <c r="N17" i="33"/>
  <c r="N47" i="33" s="1"/>
  <c r="F39" i="19"/>
  <c r="G39" i="19"/>
  <c r="C34" i="29"/>
  <c r="D34" i="29"/>
  <c r="F34" i="29"/>
  <c r="G26" i="29"/>
  <c r="F12" i="29"/>
  <c r="G12" i="29" s="1"/>
  <c r="F10" i="29"/>
  <c r="G10" i="29" s="1"/>
  <c r="G18" i="29"/>
  <c r="O9" i="12" l="1"/>
  <c r="E11" i="12"/>
  <c r="O11" i="12" s="1"/>
  <c r="G34" i="29"/>
  <c r="O13" i="12"/>
  <c r="O36" i="21"/>
  <c r="E17" i="12" l="1"/>
  <c r="O17" i="12"/>
  <c r="D9" i="19"/>
  <c r="G9" i="19" s="1"/>
  <c r="D7" i="32"/>
  <c r="G15" i="26" l="1"/>
  <c r="N15" i="26" s="1"/>
  <c r="F14" i="19"/>
  <c r="F19" i="19"/>
  <c r="G19" i="19"/>
  <c r="F11" i="19"/>
  <c r="G11" i="19"/>
  <c r="F9" i="19"/>
  <c r="T16" i="12"/>
  <c r="AD16" i="12" s="1"/>
  <c r="C18" i="12" l="1"/>
  <c r="U61" i="7"/>
  <c r="I53" i="23"/>
  <c r="J53" i="23" s="1"/>
  <c r="O13" i="22"/>
  <c r="D15" i="32" s="1"/>
  <c r="D39" i="32" s="1"/>
  <c r="I9" i="15" s="1"/>
  <c r="C9" i="22"/>
  <c r="O9" i="22" l="1"/>
  <c r="C15" i="32" s="1"/>
  <c r="C39" i="32" s="1"/>
  <c r="D9" i="22"/>
  <c r="P9" i="22" s="1"/>
  <c r="I57" i="23"/>
  <c r="J57" i="23" s="1"/>
  <c r="D16" i="32"/>
  <c r="D40" i="32" s="1"/>
  <c r="C13" i="24"/>
  <c r="L53" i="23"/>
  <c r="D67" i="7"/>
  <c r="D66" i="7"/>
  <c r="D62" i="7"/>
  <c r="D63" i="7"/>
  <c r="C55" i="23"/>
  <c r="C54" i="23"/>
  <c r="D54" i="23" s="1"/>
  <c r="C35" i="23"/>
  <c r="C23" i="23"/>
  <c r="D23" i="23" s="1"/>
  <c r="C18" i="23"/>
  <c r="C7" i="23"/>
  <c r="L61" i="22"/>
  <c r="M61" i="22" s="1"/>
  <c r="I61" i="22"/>
  <c r="J61" i="22" s="1"/>
  <c r="C61" i="22"/>
  <c r="D61" i="22" s="1"/>
  <c r="L55" i="22"/>
  <c r="M55" i="22" s="1"/>
  <c r="I55" i="22"/>
  <c r="J55" i="22" s="1"/>
  <c r="C55" i="22"/>
  <c r="D55" i="22" s="1"/>
  <c r="L41" i="22"/>
  <c r="M41" i="22" s="1"/>
  <c r="I41" i="22"/>
  <c r="J41" i="22" s="1"/>
  <c r="C41" i="22"/>
  <c r="D41" i="22" s="1"/>
  <c r="M37" i="22"/>
  <c r="I37" i="22"/>
  <c r="J37" i="22" s="1"/>
  <c r="I29" i="22"/>
  <c r="J29" i="22" s="1"/>
  <c r="C29" i="22"/>
  <c r="D29" i="22" s="1"/>
  <c r="L25" i="22"/>
  <c r="M25" i="22" s="1"/>
  <c r="I25" i="22"/>
  <c r="J25" i="22" s="1"/>
  <c r="C25" i="22"/>
  <c r="D25" i="22" s="1"/>
  <c r="L20" i="22"/>
  <c r="M20" i="22" s="1"/>
  <c r="I20" i="22"/>
  <c r="J20" i="22" s="1"/>
  <c r="C20" i="22"/>
  <c r="D20" i="22" s="1"/>
  <c r="P20" i="22" s="1"/>
  <c r="C16" i="22"/>
  <c r="D16" i="22" s="1"/>
  <c r="L14" i="22"/>
  <c r="M14" i="22" s="1"/>
  <c r="I14" i="22"/>
  <c r="J14" i="22" s="1"/>
  <c r="D14" i="22"/>
  <c r="P14" i="22" s="1"/>
  <c r="F64" i="21"/>
  <c r="G64" i="21" s="1"/>
  <c r="C64" i="21"/>
  <c r="D64" i="21" s="1"/>
  <c r="C59" i="21"/>
  <c r="F58" i="21"/>
  <c r="G58" i="21" s="1"/>
  <c r="C58" i="21"/>
  <c r="D58" i="21" s="1"/>
  <c r="C44" i="21"/>
  <c r="F40" i="21"/>
  <c r="G40" i="21" s="1"/>
  <c r="C40" i="21"/>
  <c r="D40" i="21" s="1"/>
  <c r="F31" i="21"/>
  <c r="G31" i="21" s="1"/>
  <c r="C28" i="21"/>
  <c r="C23" i="21"/>
  <c r="C14" i="21"/>
  <c r="F8" i="21"/>
  <c r="F22" i="21" s="1"/>
  <c r="G22" i="21" s="1"/>
  <c r="C8" i="21"/>
  <c r="L45" i="7"/>
  <c r="L46" i="7"/>
  <c r="L47" i="7"/>
  <c r="L48" i="7"/>
  <c r="L49" i="7"/>
  <c r="L50" i="7"/>
  <c r="L51" i="7"/>
  <c r="L52" i="7"/>
  <c r="L53" i="7"/>
  <c r="L54" i="7"/>
  <c r="J44" i="7"/>
  <c r="K44" i="7"/>
  <c r="I34" i="20"/>
  <c r="D65" i="7"/>
  <c r="D60" i="7"/>
  <c r="D57" i="7"/>
  <c r="D56" i="7"/>
  <c r="D54" i="7"/>
  <c r="D53" i="7"/>
  <c r="D52" i="7"/>
  <c r="D51" i="7"/>
  <c r="D50" i="7"/>
  <c r="D49" i="7"/>
  <c r="D48" i="7"/>
  <c r="D47" i="7"/>
  <c r="D46" i="7"/>
  <c r="D45" i="7"/>
  <c r="D43" i="7"/>
  <c r="D42" i="7"/>
  <c r="D41" i="7"/>
  <c r="D39" i="7"/>
  <c r="Y39" i="7" s="1"/>
  <c r="D38" i="7"/>
  <c r="D37" i="7"/>
  <c r="D35" i="7"/>
  <c r="D34" i="7"/>
  <c r="D33" i="7"/>
  <c r="D30" i="7"/>
  <c r="D29" i="7"/>
  <c r="D27" i="7"/>
  <c r="D26" i="7"/>
  <c r="D25" i="7"/>
  <c r="D24" i="7"/>
  <c r="D21" i="7"/>
  <c r="D20" i="7"/>
  <c r="D19" i="7"/>
  <c r="D18" i="7"/>
  <c r="D17" i="7"/>
  <c r="D16" i="7"/>
  <c r="D15" i="7"/>
  <c r="D10" i="7"/>
  <c r="D11" i="7"/>
  <c r="D12" i="7"/>
  <c r="D13" i="7"/>
  <c r="D9" i="7"/>
  <c r="O54" i="20"/>
  <c r="P54" i="20" s="1"/>
  <c r="L54" i="20"/>
  <c r="M54" i="20" s="1"/>
  <c r="I54" i="20"/>
  <c r="J54" i="20" s="1"/>
  <c r="O49" i="20"/>
  <c r="L48" i="20"/>
  <c r="M48" i="20" s="1"/>
  <c r="F48" i="20"/>
  <c r="G48" i="20" s="1"/>
  <c r="O30" i="20"/>
  <c r="L30" i="20"/>
  <c r="M30" i="20" s="1"/>
  <c r="I30" i="20"/>
  <c r="J30" i="20" s="1"/>
  <c r="F30" i="20"/>
  <c r="G30" i="20" s="1"/>
  <c r="C30" i="20"/>
  <c r="D30" i="20" s="1"/>
  <c r="O22" i="20"/>
  <c r="F22" i="20"/>
  <c r="G22" i="20" s="1"/>
  <c r="O21" i="20"/>
  <c r="L21" i="20"/>
  <c r="M21" i="20" s="1"/>
  <c r="F21" i="20"/>
  <c r="G21" i="20" s="1"/>
  <c r="C12" i="20"/>
  <c r="O10" i="20"/>
  <c r="P10" i="20" s="1"/>
  <c r="L10" i="20"/>
  <c r="M10" i="20" s="1"/>
  <c r="I10" i="20"/>
  <c r="J10" i="20" s="1"/>
  <c r="F10" i="20"/>
  <c r="G10" i="20" s="1"/>
  <c r="C10" i="20"/>
  <c r="C57" i="19"/>
  <c r="C52" i="19"/>
  <c r="D52" i="19" s="1"/>
  <c r="C51" i="19"/>
  <c r="D51" i="19" s="1"/>
  <c r="D42" i="19"/>
  <c r="C28" i="19"/>
  <c r="D28" i="19" s="1"/>
  <c r="C25" i="19"/>
  <c r="D25" i="19" s="1"/>
  <c r="C20" i="19"/>
  <c r="C24" i="19" s="1"/>
  <c r="C17" i="19"/>
  <c r="D17" i="19" s="1"/>
  <c r="P37" i="22" l="1"/>
  <c r="R37" i="22" s="1"/>
  <c r="D35" i="23"/>
  <c r="D51" i="23" s="1"/>
  <c r="C51" i="23"/>
  <c r="D18" i="23"/>
  <c r="D26" i="23" s="1"/>
  <c r="C26" i="23"/>
  <c r="D55" i="23"/>
  <c r="D64" i="23" s="1"/>
  <c r="C64" i="23"/>
  <c r="AA49" i="20"/>
  <c r="L14" i="21"/>
  <c r="D14" i="21"/>
  <c r="M14" i="21" s="1"/>
  <c r="M53" i="23"/>
  <c r="O53" i="23" s="1"/>
  <c r="AA34" i="20"/>
  <c r="J34" i="20"/>
  <c r="L23" i="21"/>
  <c r="D23" i="21"/>
  <c r="M23" i="21" s="1"/>
  <c r="O23" i="21" s="1"/>
  <c r="L59" i="21"/>
  <c r="O56" i="22"/>
  <c r="D56" i="22"/>
  <c r="D20" i="19"/>
  <c r="AA12" i="20"/>
  <c r="D12" i="20"/>
  <c r="L28" i="21"/>
  <c r="D28" i="21"/>
  <c r="M28" i="21" s="1"/>
  <c r="O28" i="21" s="1"/>
  <c r="L44" i="21"/>
  <c r="D44" i="21"/>
  <c r="P55" i="22"/>
  <c r="R55" i="22" s="1"/>
  <c r="P61" i="22"/>
  <c r="P16" i="22"/>
  <c r="R16" i="22" s="1"/>
  <c r="P29" i="22"/>
  <c r="R29" i="22" s="1"/>
  <c r="P41" i="22"/>
  <c r="C16" i="24"/>
  <c r="D16" i="24" s="1"/>
  <c r="F16" i="24" s="1"/>
  <c r="D13" i="24"/>
  <c r="F13" i="24" s="1"/>
  <c r="D65" i="22"/>
  <c r="L64" i="21"/>
  <c r="L40" i="21"/>
  <c r="L58" i="21"/>
  <c r="AA48" i="20"/>
  <c r="AA54" i="20"/>
  <c r="AA22" i="20"/>
  <c r="AA21" i="20"/>
  <c r="I55" i="23"/>
  <c r="J55" i="23" s="1"/>
  <c r="AA10" i="20"/>
  <c r="AA30" i="20"/>
  <c r="L57" i="23"/>
  <c r="R9" i="22"/>
  <c r="O37" i="22"/>
  <c r="O16" i="22"/>
  <c r="O29" i="22"/>
  <c r="D42" i="32"/>
  <c r="D43" i="32"/>
  <c r="J9" i="15"/>
  <c r="F18" i="15"/>
  <c r="E18" i="12"/>
  <c r="O20" i="22"/>
  <c r="R41" i="22"/>
  <c r="O41" i="22"/>
  <c r="L19" i="22"/>
  <c r="O14" i="22"/>
  <c r="O25" i="22"/>
  <c r="O55" i="22"/>
  <c r="O61" i="22"/>
  <c r="R13" i="22"/>
  <c r="D10" i="20"/>
  <c r="L16" i="20"/>
  <c r="M16" i="20" s="1"/>
  <c r="F16" i="20"/>
  <c r="AB48" i="20"/>
  <c r="AB54" i="20"/>
  <c r="L45" i="20"/>
  <c r="M45" i="20" s="1"/>
  <c r="I16" i="20"/>
  <c r="J16" i="20" s="1"/>
  <c r="I45" i="20"/>
  <c r="AB34" i="20"/>
  <c r="F45" i="20"/>
  <c r="G45" i="20" s="1"/>
  <c r="AB12" i="20"/>
  <c r="O14" i="21"/>
  <c r="F68" i="21"/>
  <c r="L18" i="23"/>
  <c r="L23" i="23"/>
  <c r="L54" i="23"/>
  <c r="L60" i="23"/>
  <c r="L39" i="23"/>
  <c r="M39" i="23" s="1"/>
  <c r="L27" i="23"/>
  <c r="L35" i="23"/>
  <c r="F17" i="23"/>
  <c r="G17" i="23" s="1"/>
  <c r="M7" i="23"/>
  <c r="O7" i="23" s="1"/>
  <c r="D7" i="23"/>
  <c r="I65" i="22"/>
  <c r="J65" i="22" s="1"/>
  <c r="I28" i="22"/>
  <c r="J28" i="22" s="1"/>
  <c r="F42" i="19"/>
  <c r="G42" i="19"/>
  <c r="F51" i="19"/>
  <c r="G51" i="19"/>
  <c r="G28" i="19"/>
  <c r="F22" i="19"/>
  <c r="G22" i="19"/>
  <c r="F25" i="19"/>
  <c r="G25" i="19"/>
  <c r="F17" i="19"/>
  <c r="G17" i="19"/>
  <c r="F52" i="19"/>
  <c r="G52" i="19"/>
  <c r="F31" i="19"/>
  <c r="G31" i="19"/>
  <c r="F57" i="19"/>
  <c r="G57" i="19"/>
  <c r="C17" i="23"/>
  <c r="D17" i="23" s="1"/>
  <c r="L9" i="23"/>
  <c r="M9" i="23" s="1"/>
  <c r="L28" i="22"/>
  <c r="D45" i="20"/>
  <c r="C30" i="19"/>
  <c r="D30" i="19" s="1"/>
  <c r="I52" i="22"/>
  <c r="J52" i="22" s="1"/>
  <c r="I19" i="22"/>
  <c r="L65" i="22"/>
  <c r="M65" i="22" s="1"/>
  <c r="D19" i="22"/>
  <c r="C22" i="21"/>
  <c r="C31" i="21"/>
  <c r="I57" i="20"/>
  <c r="J57" i="20" s="1"/>
  <c r="L57" i="20"/>
  <c r="M57" i="20" s="1"/>
  <c r="C16" i="20"/>
  <c r="D16" i="20" s="1"/>
  <c r="C57" i="20"/>
  <c r="D57" i="20" s="1"/>
  <c r="O57" i="20"/>
  <c r="P57" i="20" s="1"/>
  <c r="F57" i="20"/>
  <c r="G57" i="20" s="1"/>
  <c r="C64" i="19"/>
  <c r="C13" i="19"/>
  <c r="D13" i="19" s="1"/>
  <c r="M28" i="22" l="1"/>
  <c r="L66" i="22"/>
  <c r="G20" i="19"/>
  <c r="D24" i="19"/>
  <c r="L22" i="21"/>
  <c r="D22" i="21"/>
  <c r="M22" i="21" s="1"/>
  <c r="O22" i="21" s="1"/>
  <c r="M27" i="23"/>
  <c r="O27" i="23" s="1"/>
  <c r="M23" i="23"/>
  <c r="O23" i="23" s="1"/>
  <c r="P52" i="22"/>
  <c r="R52" i="22" s="1"/>
  <c r="O18" i="23"/>
  <c r="M18" i="23"/>
  <c r="P19" i="22"/>
  <c r="R19" i="22" s="1"/>
  <c r="L31" i="21"/>
  <c r="D31" i="21"/>
  <c r="M31" i="21" s="1"/>
  <c r="O31" i="21" s="1"/>
  <c r="P28" i="22"/>
  <c r="R28" i="22" s="1"/>
  <c r="M60" i="23"/>
  <c r="O60" i="23" s="1"/>
  <c r="M35" i="23"/>
  <c r="O35" i="23" s="1"/>
  <c r="M54" i="23"/>
  <c r="O54" i="23" s="1"/>
  <c r="M57" i="23"/>
  <c r="O57" i="23" s="1"/>
  <c r="O39" i="23"/>
  <c r="P25" i="22"/>
  <c r="R25" i="22" s="1"/>
  <c r="P56" i="22"/>
  <c r="R56" i="22" s="1"/>
  <c r="I66" i="22"/>
  <c r="J66" i="22" s="1"/>
  <c r="D66" i="22"/>
  <c r="L55" i="21"/>
  <c r="L68" i="21"/>
  <c r="AB30" i="20"/>
  <c r="AB22" i="20"/>
  <c r="I64" i="23"/>
  <c r="J64" i="23" s="1"/>
  <c r="AA45" i="20"/>
  <c r="L55" i="23"/>
  <c r="M55" i="23" s="1"/>
  <c r="AB10" i="20"/>
  <c r="AB21" i="20"/>
  <c r="AA57" i="20"/>
  <c r="AB16" i="20"/>
  <c r="AA16" i="20"/>
  <c r="R20" i="22"/>
  <c r="M40" i="21"/>
  <c r="M44" i="21"/>
  <c r="O44" i="21" s="1"/>
  <c r="U10" i="12"/>
  <c r="L9" i="15"/>
  <c r="R14" i="22"/>
  <c r="P65" i="22"/>
  <c r="O65" i="22"/>
  <c r="M58" i="21"/>
  <c r="O58" i="21" s="1"/>
  <c r="O52" i="22"/>
  <c r="O28" i="22"/>
  <c r="D23" i="12"/>
  <c r="R61" i="22"/>
  <c r="O19" i="22"/>
  <c r="F19" i="15"/>
  <c r="E19" i="12"/>
  <c r="O19" i="12" s="1"/>
  <c r="O18" i="12"/>
  <c r="G18" i="12"/>
  <c r="F18" i="12"/>
  <c r="I58" i="20"/>
  <c r="L58" i="20"/>
  <c r="O58" i="20"/>
  <c r="M59" i="21"/>
  <c r="M64" i="21"/>
  <c r="O64" i="21" s="1"/>
  <c r="M55" i="21"/>
  <c r="L26" i="23"/>
  <c r="L51" i="23"/>
  <c r="M51" i="23" s="1"/>
  <c r="L17" i="23"/>
  <c r="M17" i="23" s="1"/>
  <c r="F65" i="23"/>
  <c r="G65" i="23" s="1"/>
  <c r="F24" i="19"/>
  <c r="G24" i="19"/>
  <c r="F30" i="19"/>
  <c r="G30" i="19"/>
  <c r="F48" i="19"/>
  <c r="G48" i="19"/>
  <c r="F64" i="19"/>
  <c r="G64" i="19"/>
  <c r="C18" i="19"/>
  <c r="C69" i="21"/>
  <c r="C65" i="23"/>
  <c r="D65" i="23" s="1"/>
  <c r="C65" i="19"/>
  <c r="C58" i="20"/>
  <c r="D58" i="20" s="1"/>
  <c r="G59" i="20" l="1"/>
  <c r="C6" i="32"/>
  <c r="D18" i="19"/>
  <c r="M26" i="23"/>
  <c r="O26" i="23" s="1"/>
  <c r="P59" i="20"/>
  <c r="P58" i="20"/>
  <c r="L59" i="20"/>
  <c r="M59" i="20" s="1"/>
  <c r="M58" i="20"/>
  <c r="L69" i="21"/>
  <c r="E12" i="32" s="1"/>
  <c r="N12" i="32" s="1"/>
  <c r="M67" i="22"/>
  <c r="M66" i="22"/>
  <c r="P66" i="22" s="1"/>
  <c r="I59" i="20"/>
  <c r="J59" i="20" s="1"/>
  <c r="J58" i="20"/>
  <c r="E6" i="32"/>
  <c r="D65" i="19"/>
  <c r="E7" i="32" s="1"/>
  <c r="O51" i="23"/>
  <c r="O59" i="21"/>
  <c r="M68" i="21"/>
  <c r="O55" i="23"/>
  <c r="O17" i="23"/>
  <c r="I65" i="23"/>
  <c r="J65" i="23" s="1"/>
  <c r="L64" i="23"/>
  <c r="AB45" i="20"/>
  <c r="AB57" i="20"/>
  <c r="C59" i="20"/>
  <c r="AA58" i="20"/>
  <c r="O66" i="22"/>
  <c r="E15" i="32" s="1"/>
  <c r="R65" i="22"/>
  <c r="X10" i="12"/>
  <c r="AH10" i="12" s="1"/>
  <c r="W10" i="12"/>
  <c r="AE10" i="12"/>
  <c r="AG10" i="12" s="1"/>
  <c r="E21" i="12"/>
  <c r="G19" i="12"/>
  <c r="F19" i="12"/>
  <c r="O40" i="21"/>
  <c r="O55" i="21"/>
  <c r="C67" i="22"/>
  <c r="D67" i="22" s="1"/>
  <c r="F13" i="19"/>
  <c r="G13" i="19"/>
  <c r="C66" i="19"/>
  <c r="D66" i="19" s="1"/>
  <c r="I67" i="22"/>
  <c r="J67" i="22" s="1"/>
  <c r="M36" i="7"/>
  <c r="D36" i="7" s="1"/>
  <c r="N15" i="32" l="1"/>
  <c r="E39" i="32"/>
  <c r="AB58" i="20"/>
  <c r="P67" i="22"/>
  <c r="AA59" i="20"/>
  <c r="D59" i="20"/>
  <c r="AB59" i="20" s="1"/>
  <c r="M64" i="23"/>
  <c r="O64" i="23" s="1"/>
  <c r="M69" i="21"/>
  <c r="O69" i="21" s="1"/>
  <c r="O68" i="21"/>
  <c r="F66" i="19"/>
  <c r="I8" i="15"/>
  <c r="T9" i="12" s="1"/>
  <c r="L65" i="23"/>
  <c r="E23" i="12"/>
  <c r="G21" i="12"/>
  <c r="G23" i="12" s="1"/>
  <c r="F21" i="12"/>
  <c r="O67" i="22"/>
  <c r="E9" i="32"/>
  <c r="N9" i="32" s="1"/>
  <c r="G18" i="19"/>
  <c r="F18" i="19"/>
  <c r="N7" i="32"/>
  <c r="F65" i="19"/>
  <c r="G65" i="19"/>
  <c r="T19" i="12"/>
  <c r="AD19" i="12" s="1"/>
  <c r="C16" i="12"/>
  <c r="M16" i="12" s="1"/>
  <c r="C15" i="12"/>
  <c r="M15" i="12" s="1"/>
  <c r="D44" i="7"/>
  <c r="V44" i="7"/>
  <c r="W44" i="7"/>
  <c r="U44" i="7"/>
  <c r="X51" i="7"/>
  <c r="Y51" i="7" s="1"/>
  <c r="X52" i="7"/>
  <c r="Y52" i="7" s="1"/>
  <c r="X53" i="7"/>
  <c r="Y53" i="7" s="1"/>
  <c r="X54" i="7"/>
  <c r="Y54" i="7" s="1"/>
  <c r="E13" i="32" l="1"/>
  <c r="N13" i="32" s="1"/>
  <c r="E18" i="32"/>
  <c r="N18" i="32" s="1"/>
  <c r="M65" i="23"/>
  <c r="E19" i="32" s="1"/>
  <c r="N19" i="32" s="1"/>
  <c r="R67" i="22"/>
  <c r="G66" i="19"/>
  <c r="N6" i="32"/>
  <c r="E16" i="32"/>
  <c r="N16" i="32" s="1"/>
  <c r="R66" i="22"/>
  <c r="G11" i="8"/>
  <c r="G7" i="8"/>
  <c r="F23" i="12"/>
  <c r="E24" i="12"/>
  <c r="G24" i="12"/>
  <c r="E10" i="32"/>
  <c r="N10" i="32" s="1"/>
  <c r="G13" i="9"/>
  <c r="X60" i="7"/>
  <c r="V58" i="7"/>
  <c r="X57" i="7"/>
  <c r="X56" i="7"/>
  <c r="X50" i="7"/>
  <c r="X49" i="7"/>
  <c r="X48" i="7"/>
  <c r="X47" i="7"/>
  <c r="X46" i="7"/>
  <c r="X45" i="7"/>
  <c r="X42" i="7"/>
  <c r="X43" i="7"/>
  <c r="X41" i="7"/>
  <c r="X35" i="7"/>
  <c r="X34" i="7"/>
  <c r="X33" i="7"/>
  <c r="V32" i="7"/>
  <c r="V55" i="7" s="1"/>
  <c r="V61" i="7" s="1"/>
  <c r="V28" i="7"/>
  <c r="X27" i="7"/>
  <c r="X26" i="7"/>
  <c r="X25" i="7"/>
  <c r="X24" i="7"/>
  <c r="V23" i="7"/>
  <c r="U23" i="7"/>
  <c r="S23" i="7"/>
  <c r="P23" i="7"/>
  <c r="S28" i="7"/>
  <c r="P28" i="7"/>
  <c r="Z39" i="7"/>
  <c r="H64" i="7"/>
  <c r="G14" i="7"/>
  <c r="H14" i="7"/>
  <c r="I14" i="7"/>
  <c r="J14" i="7"/>
  <c r="K14" i="7"/>
  <c r="I10" i="15" l="1"/>
  <c r="O65" i="23"/>
  <c r="V31" i="7"/>
  <c r="E40" i="32"/>
  <c r="G27" i="32"/>
  <c r="G28" i="32"/>
  <c r="I12" i="15"/>
  <c r="T13" i="12" s="1"/>
  <c r="AD13" i="12" s="1"/>
  <c r="G36" i="9"/>
  <c r="X44" i="7"/>
  <c r="V59" i="7"/>
  <c r="V68" i="7" s="1"/>
  <c r="D61" i="7"/>
  <c r="X61" i="7"/>
  <c r="X58" i="7"/>
  <c r="X32" i="7"/>
  <c r="X23" i="7"/>
  <c r="X20" i="7"/>
  <c r="X19" i="7"/>
  <c r="X18" i="7"/>
  <c r="X17" i="7"/>
  <c r="X16" i="7"/>
  <c r="X15" i="7"/>
  <c r="V14" i="7"/>
  <c r="X10" i="7"/>
  <c r="X11" i="7"/>
  <c r="X12" i="7"/>
  <c r="X13" i="7"/>
  <c r="X9" i="7"/>
  <c r="V8" i="7"/>
  <c r="Z9" i="7"/>
  <c r="C58" i="7"/>
  <c r="C8" i="7"/>
  <c r="C64" i="7"/>
  <c r="Z63" i="7"/>
  <c r="Z62" i="7"/>
  <c r="Z66" i="7"/>
  <c r="Z67" i="7"/>
  <c r="Z65" i="7"/>
  <c r="Z57" i="7"/>
  <c r="Z50" i="7"/>
  <c r="Z49" i="7"/>
  <c r="Z48" i="7"/>
  <c r="Z47" i="7"/>
  <c r="Z45" i="7"/>
  <c r="Z43" i="7"/>
  <c r="Z42" i="7"/>
  <c r="Z41" i="7"/>
  <c r="Z38" i="7"/>
  <c r="Z37" i="7"/>
  <c r="Z35" i="7"/>
  <c r="Z34" i="7"/>
  <c r="Z33" i="7"/>
  <c r="Z25" i="7"/>
  <c r="Z26" i="7"/>
  <c r="Z27" i="7"/>
  <c r="Z24" i="7"/>
  <c r="Z16" i="7"/>
  <c r="Z17" i="7"/>
  <c r="Z18" i="7"/>
  <c r="Z19" i="7"/>
  <c r="Z20" i="7"/>
  <c r="Z21" i="7"/>
  <c r="Z15" i="7"/>
  <c r="Z10" i="7"/>
  <c r="Z11" i="7"/>
  <c r="Z12" i="7"/>
  <c r="Z13" i="7"/>
  <c r="C59" i="7"/>
  <c r="C44" i="7"/>
  <c r="C40" i="7"/>
  <c r="C32" i="7"/>
  <c r="C28" i="7"/>
  <c r="C23" i="7"/>
  <c r="C14" i="7"/>
  <c r="E38" i="32" l="1"/>
  <c r="J10" i="15"/>
  <c r="U11" i="12" s="1"/>
  <c r="AE11" i="12" s="1"/>
  <c r="X55" i="7"/>
  <c r="G40" i="32"/>
  <c r="N28" i="32"/>
  <c r="N27" i="32"/>
  <c r="G39" i="32"/>
  <c r="C31" i="7"/>
  <c r="C68" i="7"/>
  <c r="X59" i="7"/>
  <c r="X68" i="7" s="1"/>
  <c r="V22" i="7"/>
  <c r="V69" i="7" s="1"/>
  <c r="X14" i="7"/>
  <c r="C55" i="7"/>
  <c r="C22" i="7"/>
  <c r="Z46" i="7"/>
  <c r="Z60" i="7"/>
  <c r="Z36" i="7"/>
  <c r="Z56" i="7"/>
  <c r="D8" i="7"/>
  <c r="X8" i="7"/>
  <c r="E41" i="32" l="1"/>
  <c r="K10" i="15" s="1"/>
  <c r="E43" i="32"/>
  <c r="E42" i="32"/>
  <c r="E24" i="13"/>
  <c r="F6" i="13"/>
  <c r="H6" i="13" s="1"/>
  <c r="X22" i="7"/>
  <c r="C69" i="7"/>
  <c r="J12" i="15"/>
  <c r="U13" i="12" s="1"/>
  <c r="G43" i="32"/>
  <c r="G42" i="32"/>
  <c r="Z8" i="7"/>
  <c r="V11" i="12" l="1"/>
  <c r="L10" i="15"/>
  <c r="W11" i="12"/>
  <c r="H24" i="13"/>
  <c r="F14" i="15" s="1"/>
  <c r="D14" i="15"/>
  <c r="D14" i="12" s="1"/>
  <c r="X13" i="12"/>
  <c r="AH13" i="12" s="1"/>
  <c r="AE13" i="12"/>
  <c r="W13" i="12"/>
  <c r="L12" i="15"/>
  <c r="C14" i="15"/>
  <c r="C14" i="12" s="1"/>
  <c r="AF11" i="12" l="1"/>
  <c r="AG11" i="12" s="1"/>
  <c r="X11" i="12"/>
  <c r="AH11" i="12" s="1"/>
  <c r="G14" i="12"/>
  <c r="F14" i="12"/>
  <c r="I19" i="11"/>
  <c r="N18" i="11"/>
  <c r="I20" i="12" l="1"/>
  <c r="M37" i="32"/>
  <c r="J19" i="11"/>
  <c r="O18" i="11"/>
  <c r="K19" i="11" l="1"/>
  <c r="L19" i="11"/>
  <c r="M40" i="32"/>
  <c r="J20" i="12"/>
  <c r="M38" i="32"/>
  <c r="N20" i="12"/>
  <c r="P18" i="11"/>
  <c r="O19" i="11"/>
  <c r="Q18" i="11"/>
  <c r="M41" i="32" l="1"/>
  <c r="M43" i="32" s="1"/>
  <c r="O20" i="12"/>
  <c r="P20" i="12" s="1"/>
  <c r="K20" i="12"/>
  <c r="J21" i="12"/>
  <c r="L20" i="12"/>
  <c r="J20" i="15"/>
  <c r="Q20" i="12" l="1"/>
  <c r="J23" i="12"/>
  <c r="J24" i="12" s="1"/>
  <c r="AA25" i="12" s="1"/>
  <c r="O21" i="12"/>
  <c r="U20" i="12"/>
  <c r="J21" i="15"/>
  <c r="J23" i="15" s="1"/>
  <c r="K20" i="15"/>
  <c r="M42" i="32"/>
  <c r="I13" i="11"/>
  <c r="N8" i="11"/>
  <c r="Z9" i="12" s="1"/>
  <c r="AE20" i="12" l="1"/>
  <c r="U21" i="12"/>
  <c r="O23" i="12"/>
  <c r="L20" i="15"/>
  <c r="V20" i="12"/>
  <c r="K21" i="15"/>
  <c r="AB9" i="12"/>
  <c r="AC9" i="12"/>
  <c r="K13" i="11"/>
  <c r="I20" i="11"/>
  <c r="Q8" i="11"/>
  <c r="P8" i="11"/>
  <c r="H19" i="11"/>
  <c r="K23" i="15" l="1"/>
  <c r="L21" i="15"/>
  <c r="V21" i="12"/>
  <c r="X21" i="12" s="1"/>
  <c r="AF20" i="12"/>
  <c r="AG20" i="12" s="1"/>
  <c r="W20" i="12"/>
  <c r="AE21" i="12"/>
  <c r="U23" i="12"/>
  <c r="O24" i="12"/>
  <c r="X20" i="12"/>
  <c r="X23" i="12" l="1"/>
  <c r="AF21" i="12"/>
  <c r="AH21" i="12" s="1"/>
  <c r="AH23" i="12" s="1"/>
  <c r="W21" i="12"/>
  <c r="V23" i="12"/>
  <c r="AE23" i="12"/>
  <c r="C23" i="15"/>
  <c r="B9" i="26" s="1"/>
  <c r="C9" i="26" s="1"/>
  <c r="D9" i="26" s="1"/>
  <c r="AH20" i="12"/>
  <c r="L23" i="15"/>
  <c r="F17" i="14"/>
  <c r="C11" i="14"/>
  <c r="C7" i="14"/>
  <c r="Y21" i="12"/>
  <c r="M17" i="11"/>
  <c r="H18" i="12" s="1"/>
  <c r="M16" i="11"/>
  <c r="M14" i="11"/>
  <c r="H10" i="12" s="1"/>
  <c r="H11" i="12" s="1"/>
  <c r="M12" i="11"/>
  <c r="Y15" i="12" s="1"/>
  <c r="H13" i="11"/>
  <c r="T67" i="7"/>
  <c r="O67" i="7"/>
  <c r="L67" i="7"/>
  <c r="T66" i="7"/>
  <c r="O66" i="7"/>
  <c r="L66" i="7"/>
  <c r="T65" i="7"/>
  <c r="O65" i="7"/>
  <c r="L65" i="7"/>
  <c r="D64" i="7"/>
  <c r="U64" i="7"/>
  <c r="S64" i="7"/>
  <c r="R64" i="7"/>
  <c r="R68" i="7" s="1"/>
  <c r="Q64" i="7"/>
  <c r="P64" i="7"/>
  <c r="N64" i="7"/>
  <c r="M64" i="7"/>
  <c r="K64" i="7"/>
  <c r="J64" i="7"/>
  <c r="I64" i="7"/>
  <c r="G64" i="7"/>
  <c r="F64" i="7"/>
  <c r="E64" i="7"/>
  <c r="T63" i="7"/>
  <c r="O63" i="7"/>
  <c r="L63" i="7"/>
  <c r="T62" i="7"/>
  <c r="O62" i="7"/>
  <c r="L62" i="7"/>
  <c r="O61" i="7"/>
  <c r="T60" i="7"/>
  <c r="L60" i="7"/>
  <c r="S59" i="7"/>
  <c r="Q59" i="7"/>
  <c r="N59" i="7"/>
  <c r="K59" i="7"/>
  <c r="J59" i="7"/>
  <c r="I59" i="7"/>
  <c r="G59" i="7"/>
  <c r="F59" i="7"/>
  <c r="E59" i="7"/>
  <c r="U58" i="7"/>
  <c r="S58" i="7"/>
  <c r="R58" i="7"/>
  <c r="Q58" i="7"/>
  <c r="P58" i="7"/>
  <c r="N58" i="7"/>
  <c r="M58" i="7"/>
  <c r="K58" i="7"/>
  <c r="J58" i="7"/>
  <c r="I58" i="7"/>
  <c r="G58" i="7"/>
  <c r="F58" i="7"/>
  <c r="E58" i="7"/>
  <c r="T57" i="7"/>
  <c r="O57" i="7"/>
  <c r="L57" i="7"/>
  <c r="T56" i="7"/>
  <c r="O56" i="7"/>
  <c r="L56" i="7"/>
  <c r="D58" i="7"/>
  <c r="T50" i="7"/>
  <c r="O50" i="7"/>
  <c r="T49" i="7"/>
  <c r="O49" i="7"/>
  <c r="T48" i="7"/>
  <c r="O48" i="7"/>
  <c r="T47" i="7"/>
  <c r="O47" i="7"/>
  <c r="E44" i="7"/>
  <c r="T46" i="7"/>
  <c r="O46" i="7"/>
  <c r="T45" i="7"/>
  <c r="O45" i="7"/>
  <c r="Z44" i="7"/>
  <c r="S44" i="7"/>
  <c r="R44" i="7"/>
  <c r="Q44" i="7"/>
  <c r="P44" i="7"/>
  <c r="M44" i="7"/>
  <c r="O44" i="7" s="1"/>
  <c r="I44" i="7"/>
  <c r="H44" i="7"/>
  <c r="G44" i="7"/>
  <c r="F44" i="7"/>
  <c r="T43" i="7"/>
  <c r="O43" i="7"/>
  <c r="L43" i="7"/>
  <c r="T42" i="7"/>
  <c r="O42" i="7"/>
  <c r="L42" i="7"/>
  <c r="T41" i="7"/>
  <c r="O41" i="7"/>
  <c r="L41" i="7"/>
  <c r="U40" i="7"/>
  <c r="S40" i="7"/>
  <c r="R40" i="7"/>
  <c r="Q40" i="7"/>
  <c r="P40" i="7"/>
  <c r="N40" i="7"/>
  <c r="N55" i="7" s="1"/>
  <c r="M40" i="7"/>
  <c r="K40" i="7"/>
  <c r="J40" i="7"/>
  <c r="I40" i="7"/>
  <c r="H40" i="7"/>
  <c r="G40" i="7"/>
  <c r="F40" i="7"/>
  <c r="E40" i="7"/>
  <c r="T38" i="7"/>
  <c r="O38" i="7"/>
  <c r="L38" i="7"/>
  <c r="T37" i="7"/>
  <c r="O37" i="7"/>
  <c r="L37" i="7"/>
  <c r="T36" i="7"/>
  <c r="O36" i="7"/>
  <c r="L36" i="7"/>
  <c r="T35" i="7"/>
  <c r="O35" i="7"/>
  <c r="L35" i="7"/>
  <c r="T34" i="7"/>
  <c r="O34" i="7"/>
  <c r="L34" i="7"/>
  <c r="T33" i="7"/>
  <c r="O33" i="7"/>
  <c r="L33" i="7"/>
  <c r="D32" i="7"/>
  <c r="U32" i="7"/>
  <c r="S32" i="7"/>
  <c r="R32" i="7"/>
  <c r="Q32" i="7"/>
  <c r="P32" i="7"/>
  <c r="O32" i="7"/>
  <c r="K32" i="7"/>
  <c r="J32" i="7"/>
  <c r="I32" i="7"/>
  <c r="H32" i="7"/>
  <c r="G32" i="7"/>
  <c r="F32" i="7"/>
  <c r="E32" i="7"/>
  <c r="S31" i="7"/>
  <c r="P31" i="7"/>
  <c r="N31" i="7"/>
  <c r="K31" i="7"/>
  <c r="J31" i="7"/>
  <c r="I31" i="7"/>
  <c r="G31" i="7"/>
  <c r="F31" i="7"/>
  <c r="T30" i="7"/>
  <c r="O30" i="7"/>
  <c r="L30" i="7"/>
  <c r="T29" i="7"/>
  <c r="O29" i="7"/>
  <c r="L29" i="7"/>
  <c r="R28" i="7"/>
  <c r="Q28" i="7"/>
  <c r="M28" i="7"/>
  <c r="O28" i="7" s="1"/>
  <c r="L28" i="7"/>
  <c r="E28" i="7"/>
  <c r="T27" i="7"/>
  <c r="O27" i="7"/>
  <c r="L27" i="7"/>
  <c r="T26" i="7"/>
  <c r="O26" i="7"/>
  <c r="L26" i="7"/>
  <c r="T25" i="7"/>
  <c r="O25" i="7"/>
  <c r="L25" i="7"/>
  <c r="T24" i="7"/>
  <c r="O24" i="7"/>
  <c r="L24" i="7"/>
  <c r="D23" i="7"/>
  <c r="R23" i="7"/>
  <c r="Q23" i="7"/>
  <c r="M23" i="7"/>
  <c r="L23" i="7"/>
  <c r="E23" i="7"/>
  <c r="T21" i="7"/>
  <c r="O21" i="7"/>
  <c r="L21" i="7"/>
  <c r="T20" i="7"/>
  <c r="O20" i="7"/>
  <c r="L20" i="7"/>
  <c r="T19" i="7"/>
  <c r="O19" i="7"/>
  <c r="L19" i="7"/>
  <c r="T18" i="7"/>
  <c r="O18" i="7"/>
  <c r="L18" i="7"/>
  <c r="T17" i="7"/>
  <c r="O17" i="7"/>
  <c r="L17" i="7"/>
  <c r="T16" i="7"/>
  <c r="O16" i="7"/>
  <c r="L16" i="7"/>
  <c r="T15" i="7"/>
  <c r="O15" i="7"/>
  <c r="L15" i="7"/>
  <c r="U14" i="7"/>
  <c r="R14" i="7"/>
  <c r="Q14" i="7"/>
  <c r="P14" i="7"/>
  <c r="M14" i="7"/>
  <c r="O14" i="7" s="1"/>
  <c r="F14" i="7"/>
  <c r="E14" i="7"/>
  <c r="T13" i="7"/>
  <c r="O13" i="7"/>
  <c r="L13" i="7"/>
  <c r="T12" i="7"/>
  <c r="O12" i="7"/>
  <c r="L12" i="7"/>
  <c r="T11" i="7"/>
  <c r="O11" i="7"/>
  <c r="L11" i="7"/>
  <c r="T10" i="7"/>
  <c r="O10" i="7"/>
  <c r="L10" i="7"/>
  <c r="T9" i="7"/>
  <c r="O9" i="7"/>
  <c r="L9" i="7"/>
  <c r="U8" i="7"/>
  <c r="S8" i="7"/>
  <c r="S22" i="7" s="1"/>
  <c r="R8" i="7"/>
  <c r="Q8" i="7"/>
  <c r="P8" i="7"/>
  <c r="N8" i="7"/>
  <c r="N22" i="7" s="1"/>
  <c r="M8" i="7"/>
  <c r="M22" i="7" s="1"/>
  <c r="K8" i="7"/>
  <c r="K22" i="7" s="1"/>
  <c r="J8" i="7"/>
  <c r="I8" i="7"/>
  <c r="I22" i="7" s="1"/>
  <c r="H8" i="7"/>
  <c r="H22" i="7" s="1"/>
  <c r="G8" i="7"/>
  <c r="G22" i="7" s="1"/>
  <c r="F8" i="7"/>
  <c r="E8" i="7"/>
  <c r="E20" i="6"/>
  <c r="D20" i="6"/>
  <c r="C20" i="6"/>
  <c r="F19" i="6"/>
  <c r="F18" i="6"/>
  <c r="F17" i="6"/>
  <c r="E16" i="6"/>
  <c r="D16" i="6"/>
  <c r="C16" i="6"/>
  <c r="F15" i="6"/>
  <c r="F14" i="6"/>
  <c r="F13" i="6"/>
  <c r="F12" i="6"/>
  <c r="F11" i="6"/>
  <c r="F10" i="6"/>
  <c r="F9" i="6"/>
  <c r="F8" i="6"/>
  <c r="E57" i="4"/>
  <c r="E40" i="4"/>
  <c r="F40" i="4" s="1"/>
  <c r="H35" i="4"/>
  <c r="E34" i="4"/>
  <c r="E31" i="4"/>
  <c r="E15" i="4"/>
  <c r="F25" i="4" s="1"/>
  <c r="F57" i="4" l="1"/>
  <c r="F61" i="4" s="1"/>
  <c r="E61" i="4"/>
  <c r="O6" i="33"/>
  <c r="O17" i="33" s="1"/>
  <c r="O47" i="33" s="1"/>
  <c r="H31" i="4"/>
  <c r="F31" i="4"/>
  <c r="H34" i="4"/>
  <c r="F34" i="4"/>
  <c r="D16" i="14"/>
  <c r="D11" i="14"/>
  <c r="H57" i="4"/>
  <c r="J55" i="7"/>
  <c r="D23" i="15"/>
  <c r="W23" i="12"/>
  <c r="H42" i="4"/>
  <c r="H40" i="4"/>
  <c r="Y9" i="7"/>
  <c r="Y13" i="7"/>
  <c r="Y17" i="7"/>
  <c r="Y21" i="7"/>
  <c r="Y25" i="7"/>
  <c r="Y35" i="7"/>
  <c r="Y43" i="7"/>
  <c r="Y48" i="7"/>
  <c r="Y50" i="7"/>
  <c r="M18" i="12"/>
  <c r="AF23" i="12"/>
  <c r="AG21" i="12"/>
  <c r="F7" i="14"/>
  <c r="D7" i="14"/>
  <c r="Y23" i="12"/>
  <c r="Y47" i="7"/>
  <c r="Y49" i="7"/>
  <c r="F11" i="14"/>
  <c r="Y67" i="7"/>
  <c r="Y12" i="7"/>
  <c r="Y16" i="7"/>
  <c r="Y24" i="7"/>
  <c r="Y34" i="7"/>
  <c r="Y38" i="7"/>
  <c r="Y42" i="7"/>
  <c r="Y45" i="7"/>
  <c r="Y63" i="7"/>
  <c r="Y66" i="7"/>
  <c r="Z32" i="7"/>
  <c r="M15" i="11"/>
  <c r="H14" i="12" s="1"/>
  <c r="M14" i="12" s="1"/>
  <c r="D21" i="6"/>
  <c r="E22" i="7"/>
  <c r="Y11" i="7"/>
  <c r="Y15" i="7"/>
  <c r="Y19" i="7"/>
  <c r="Q31" i="7"/>
  <c r="Y27" i="7"/>
  <c r="Y33" i="7"/>
  <c r="Y37" i="7"/>
  <c r="Y41" i="7"/>
  <c r="Y57" i="7"/>
  <c r="Y62" i="7"/>
  <c r="Y65" i="7"/>
  <c r="Y10" i="7"/>
  <c r="Y18" i="7"/>
  <c r="Y20" i="7"/>
  <c r="R31" i="7"/>
  <c r="Y26" i="7"/>
  <c r="Y36" i="7"/>
  <c r="Y46" i="7"/>
  <c r="Y56" i="7"/>
  <c r="E9" i="26"/>
  <c r="M9" i="11"/>
  <c r="Y10" i="12" s="1"/>
  <c r="M18" i="11"/>
  <c r="Z58" i="7"/>
  <c r="Z64" i="7"/>
  <c r="Z23" i="7"/>
  <c r="F68" i="7"/>
  <c r="G55" i="7"/>
  <c r="T8" i="7"/>
  <c r="L58" i="7"/>
  <c r="I55" i="7"/>
  <c r="Q22" i="7"/>
  <c r="R22" i="7"/>
  <c r="G68" i="7"/>
  <c r="O8" i="7"/>
  <c r="T14" i="7"/>
  <c r="E55" i="7"/>
  <c r="I68" i="7"/>
  <c r="E31" i="7"/>
  <c r="H55" i="7"/>
  <c r="L61" i="7" s="1"/>
  <c r="K55" i="7"/>
  <c r="S55" i="7"/>
  <c r="U55" i="7"/>
  <c r="T58" i="7"/>
  <c r="E68" i="7"/>
  <c r="J68" i="7"/>
  <c r="Q68" i="7"/>
  <c r="F22" i="7"/>
  <c r="T23" i="7"/>
  <c r="T32" i="7"/>
  <c r="L40" i="7"/>
  <c r="Q55" i="7"/>
  <c r="P55" i="7"/>
  <c r="O64" i="7"/>
  <c r="O22" i="7"/>
  <c r="J22" i="7"/>
  <c r="M31" i="7"/>
  <c r="O31" i="7" s="1"/>
  <c r="L44" i="7"/>
  <c r="O58" i="7"/>
  <c r="K68" i="7"/>
  <c r="N68" i="7"/>
  <c r="N69" i="7" s="1"/>
  <c r="S68" i="7"/>
  <c r="F20" i="6"/>
  <c r="E21" i="6"/>
  <c r="C21" i="6"/>
  <c r="F16" i="6"/>
  <c r="H20" i="11"/>
  <c r="D14" i="7"/>
  <c r="U22" i="7"/>
  <c r="O23" i="7"/>
  <c r="L32" i="7"/>
  <c r="F55" i="7"/>
  <c r="T28" i="7"/>
  <c r="T44" i="7"/>
  <c r="L14" i="7"/>
  <c r="L64" i="7"/>
  <c r="P22" i="7"/>
  <c r="O40" i="7"/>
  <c r="M55" i="7"/>
  <c r="L8" i="7"/>
  <c r="L31" i="7"/>
  <c r="R55" i="7"/>
  <c r="T40" i="7"/>
  <c r="D40" i="7"/>
  <c r="T64" i="7"/>
  <c r="H61" i="4" l="1"/>
  <c r="F9" i="15" s="1"/>
  <c r="D9" i="15"/>
  <c r="D10" i="12" s="1"/>
  <c r="T31" i="7"/>
  <c r="N30" i="32"/>
  <c r="Y32" i="7"/>
  <c r="H20" i="12"/>
  <c r="M20" i="12" s="1"/>
  <c r="M36" i="32"/>
  <c r="AG23" i="12"/>
  <c r="Y23" i="7"/>
  <c r="E23" i="15"/>
  <c r="F21" i="15"/>
  <c r="C23" i="12"/>
  <c r="Y8" i="7"/>
  <c r="Y64" i="7"/>
  <c r="Y44" i="7"/>
  <c r="H17" i="12"/>
  <c r="D8" i="15"/>
  <c r="F8" i="15"/>
  <c r="F16" i="14"/>
  <c r="D21" i="14"/>
  <c r="N31" i="32"/>
  <c r="Y58" i="7"/>
  <c r="C9" i="15"/>
  <c r="C10" i="12" s="1"/>
  <c r="M10" i="12" s="1"/>
  <c r="M19" i="11"/>
  <c r="B10" i="26" s="1"/>
  <c r="B17" i="26" s="1"/>
  <c r="Z40" i="7"/>
  <c r="Y40" i="7"/>
  <c r="F9" i="26"/>
  <c r="C19" i="11"/>
  <c r="Z14" i="7"/>
  <c r="Y14" i="7"/>
  <c r="F22" i="6"/>
  <c r="T10" i="12" s="1"/>
  <c r="AD10" i="12" s="1"/>
  <c r="I69" i="7"/>
  <c r="D55" i="7"/>
  <c r="D22" i="7"/>
  <c r="S69" i="7"/>
  <c r="J69" i="7"/>
  <c r="G69" i="7"/>
  <c r="E69" i="7"/>
  <c r="H59" i="7"/>
  <c r="H68" i="7" s="1"/>
  <c r="H69" i="7" s="1"/>
  <c r="K69" i="7"/>
  <c r="L55" i="7"/>
  <c r="L22" i="7"/>
  <c r="R69" i="7"/>
  <c r="Q69" i="7"/>
  <c r="F21" i="6"/>
  <c r="F69" i="7"/>
  <c r="T55" i="7"/>
  <c r="O55" i="7"/>
  <c r="T22" i="7"/>
  <c r="N10" i="12" l="1"/>
  <c r="G10" i="12"/>
  <c r="F10" i="12"/>
  <c r="D12" i="15"/>
  <c r="D13" i="12" s="1"/>
  <c r="M9" i="12"/>
  <c r="C10" i="15"/>
  <c r="H16" i="26"/>
  <c r="N16" i="26" s="1"/>
  <c r="H39" i="32"/>
  <c r="I14" i="15" s="1"/>
  <c r="N36" i="32"/>
  <c r="M39" i="32"/>
  <c r="I20" i="15" s="1"/>
  <c r="T20" i="12" s="1"/>
  <c r="AD20" i="12" s="1"/>
  <c r="N17" i="11"/>
  <c r="F23" i="15"/>
  <c r="E24" i="15"/>
  <c r="D10" i="15"/>
  <c r="F10" i="15" s="1"/>
  <c r="D9" i="12"/>
  <c r="C9" i="29"/>
  <c r="D9" i="29" s="1"/>
  <c r="C12" i="15"/>
  <c r="C13" i="12" s="1"/>
  <c r="M13" i="12" s="1"/>
  <c r="F21" i="14"/>
  <c r="F12" i="15" s="1"/>
  <c r="U14" i="12"/>
  <c r="H42" i="32"/>
  <c r="H43" i="32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C10" i="26"/>
  <c r="D10" i="26" s="1"/>
  <c r="N9" i="26"/>
  <c r="Z55" i="7"/>
  <c r="Y55" i="7"/>
  <c r="Z22" i="7"/>
  <c r="Y22" i="7"/>
  <c r="M11" i="11"/>
  <c r="Y14" i="12" s="1"/>
  <c r="L68" i="7"/>
  <c r="L69" i="7"/>
  <c r="L59" i="7"/>
  <c r="P59" i="7"/>
  <c r="T61" i="7"/>
  <c r="Y61" i="7" s="1"/>
  <c r="M59" i="7"/>
  <c r="O60" i="7"/>
  <c r="Y60" i="7" s="1"/>
  <c r="U59" i="7"/>
  <c r="Q10" i="12" l="1"/>
  <c r="P10" i="12"/>
  <c r="T21" i="12"/>
  <c r="AD21" i="12" s="1"/>
  <c r="AD23" i="12" s="1"/>
  <c r="I21" i="15"/>
  <c r="I23" i="15" s="1"/>
  <c r="L14" i="15"/>
  <c r="T14" i="12"/>
  <c r="AD14" i="12" s="1"/>
  <c r="C17" i="15"/>
  <c r="C24" i="15" s="1"/>
  <c r="C16" i="29"/>
  <c r="C17" i="29" s="1"/>
  <c r="G19" i="11"/>
  <c r="N34" i="32"/>
  <c r="I40" i="32"/>
  <c r="J15" i="15" s="1"/>
  <c r="I39" i="32"/>
  <c r="I15" i="15" s="1"/>
  <c r="N33" i="32"/>
  <c r="I18" i="12"/>
  <c r="Q17" i="11"/>
  <c r="P17" i="11"/>
  <c r="D17" i="15"/>
  <c r="D24" i="15" s="1"/>
  <c r="F24" i="15" s="1"/>
  <c r="N9" i="12"/>
  <c r="D11" i="12"/>
  <c r="D17" i="12" s="1"/>
  <c r="G9" i="12"/>
  <c r="F9" i="12"/>
  <c r="B11" i="26"/>
  <c r="B21" i="26" s="1"/>
  <c r="N13" i="12"/>
  <c r="G13" i="12"/>
  <c r="F13" i="12"/>
  <c r="X14" i="12"/>
  <c r="W14" i="12"/>
  <c r="N15" i="11"/>
  <c r="D19" i="11"/>
  <c r="G13" i="11"/>
  <c r="C11" i="26"/>
  <c r="C21" i="26" s="1"/>
  <c r="C17" i="26"/>
  <c r="M10" i="11"/>
  <c r="Y11" i="12" s="1"/>
  <c r="C11" i="12"/>
  <c r="M11" i="12" s="1"/>
  <c r="E10" i="26"/>
  <c r="D17" i="26"/>
  <c r="D11" i="26"/>
  <c r="D21" i="26" s="1"/>
  <c r="E9" i="29"/>
  <c r="D16" i="29"/>
  <c r="D17" i="29" s="1"/>
  <c r="D35" i="29" s="1"/>
  <c r="Z61" i="7"/>
  <c r="Y9" i="12"/>
  <c r="AD9" i="12" s="1"/>
  <c r="D59" i="7"/>
  <c r="U68" i="7"/>
  <c r="O59" i="7"/>
  <c r="M68" i="7"/>
  <c r="T59" i="7"/>
  <c r="P68" i="7"/>
  <c r="F19" i="11" l="1"/>
  <c r="T23" i="12"/>
  <c r="L15" i="15"/>
  <c r="T15" i="12"/>
  <c r="AD15" i="12" s="1"/>
  <c r="L18" i="12"/>
  <c r="I19" i="12"/>
  <c r="K18" i="12"/>
  <c r="N18" i="12"/>
  <c r="N19" i="11"/>
  <c r="P19" i="11" s="1"/>
  <c r="I14" i="12"/>
  <c r="Q15" i="11"/>
  <c r="Q19" i="11" s="1"/>
  <c r="P15" i="11"/>
  <c r="I42" i="32"/>
  <c r="I43" i="32"/>
  <c r="F17" i="15"/>
  <c r="N11" i="12"/>
  <c r="G11" i="12"/>
  <c r="G17" i="12" s="1"/>
  <c r="F11" i="12"/>
  <c r="Q9" i="12"/>
  <c r="P9" i="12"/>
  <c r="P13" i="12"/>
  <c r="Q13" i="12"/>
  <c r="F17" i="12"/>
  <c r="D24" i="12"/>
  <c r="F24" i="12" s="1"/>
  <c r="N11" i="11"/>
  <c r="Z14" i="12" s="1"/>
  <c r="D13" i="11"/>
  <c r="D20" i="11" s="1"/>
  <c r="C13" i="11"/>
  <c r="C20" i="11" s="1"/>
  <c r="C17" i="12"/>
  <c r="C24" i="12" s="1"/>
  <c r="M17" i="12"/>
  <c r="E17" i="26"/>
  <c r="F10" i="26"/>
  <c r="E11" i="26"/>
  <c r="E21" i="26" s="1"/>
  <c r="C35" i="29"/>
  <c r="F9" i="29"/>
  <c r="F16" i="29" s="1"/>
  <c r="F17" i="29" s="1"/>
  <c r="F35" i="29" s="1"/>
  <c r="E16" i="29"/>
  <c r="Z59" i="7"/>
  <c r="Y59" i="7"/>
  <c r="M20" i="11"/>
  <c r="D68" i="7"/>
  <c r="M69" i="7"/>
  <c r="O69" i="7" s="1"/>
  <c r="O68" i="7"/>
  <c r="T68" i="7"/>
  <c r="P69" i="7"/>
  <c r="T69" i="7" s="1"/>
  <c r="F13" i="11" l="1"/>
  <c r="L19" i="12"/>
  <c r="I21" i="12"/>
  <c r="K19" i="12"/>
  <c r="N19" i="12"/>
  <c r="U15" i="12"/>
  <c r="L14" i="12"/>
  <c r="I17" i="12"/>
  <c r="K14" i="12"/>
  <c r="N14" i="12"/>
  <c r="AC14" i="12"/>
  <c r="AH14" i="12" s="1"/>
  <c r="AB14" i="12"/>
  <c r="Z17" i="12"/>
  <c r="AE14" i="12"/>
  <c r="AG14" i="12" s="1"/>
  <c r="Q18" i="12"/>
  <c r="P18" i="12"/>
  <c r="D25" i="12"/>
  <c r="Q11" i="12"/>
  <c r="P11" i="12"/>
  <c r="Q11" i="11"/>
  <c r="Q13" i="11" s="1"/>
  <c r="N13" i="11"/>
  <c r="G10" i="26"/>
  <c r="F17" i="26"/>
  <c r="F11" i="26"/>
  <c r="F21" i="26" s="1"/>
  <c r="G9" i="29"/>
  <c r="E17" i="29"/>
  <c r="G16" i="29"/>
  <c r="Z68" i="7"/>
  <c r="Y68" i="7"/>
  <c r="Y17" i="12"/>
  <c r="Y24" i="12" s="1"/>
  <c r="N21" i="12" l="1"/>
  <c r="L21" i="12"/>
  <c r="L23" i="12" s="1"/>
  <c r="I23" i="12"/>
  <c r="K21" i="12"/>
  <c r="AE15" i="12"/>
  <c r="AG15" i="12" s="1"/>
  <c r="X15" i="12"/>
  <c r="AH15" i="12" s="1"/>
  <c r="W15" i="12"/>
  <c r="Q19" i="12"/>
  <c r="P19" i="12"/>
  <c r="AC17" i="12"/>
  <c r="AB17" i="12"/>
  <c r="Z24" i="12"/>
  <c r="L17" i="12"/>
  <c r="K17" i="12"/>
  <c r="Q14" i="12"/>
  <c r="Q17" i="12" s="1"/>
  <c r="P14" i="12"/>
  <c r="N17" i="12"/>
  <c r="P17" i="12" s="1"/>
  <c r="N20" i="11"/>
  <c r="P13" i="11"/>
  <c r="G11" i="26"/>
  <c r="G21" i="26" s="1"/>
  <c r="H10" i="26"/>
  <c r="G17" i="26"/>
  <c r="E35" i="29"/>
  <c r="G35" i="29" s="1"/>
  <c r="G17" i="29"/>
  <c r="X30" i="7"/>
  <c r="Y30" i="7" s="1"/>
  <c r="X29" i="7"/>
  <c r="Y29" i="7" s="1"/>
  <c r="U28" i="7"/>
  <c r="U31" i="7" s="1"/>
  <c r="U69" i="7" s="1"/>
  <c r="K23" i="12" l="1"/>
  <c r="I24" i="12"/>
  <c r="K24" i="12" s="1"/>
  <c r="L24" i="12"/>
  <c r="Q21" i="12"/>
  <c r="N23" i="12"/>
  <c r="P21" i="12"/>
  <c r="I10" i="26"/>
  <c r="H17" i="26"/>
  <c r="H11" i="26"/>
  <c r="H21" i="26" s="1"/>
  <c r="X28" i="7"/>
  <c r="X31" i="7" s="1"/>
  <c r="X69" i="7" s="1"/>
  <c r="Z30" i="7"/>
  <c r="Z29" i="7"/>
  <c r="D28" i="7"/>
  <c r="Z25" i="12" l="1"/>
  <c r="Q23" i="12"/>
  <c r="P23" i="12"/>
  <c r="N24" i="12"/>
  <c r="Y28" i="7"/>
  <c r="I11" i="26"/>
  <c r="I21" i="26" s="1"/>
  <c r="I17" i="26"/>
  <c r="J10" i="26"/>
  <c r="Z28" i="7"/>
  <c r="D31" i="7"/>
  <c r="Y31" i="7" s="1"/>
  <c r="P24" i="12" l="1"/>
  <c r="Q24" i="12"/>
  <c r="J17" i="26"/>
  <c r="J11" i="26"/>
  <c r="J21" i="26" s="1"/>
  <c r="K10" i="26"/>
  <c r="Z31" i="7"/>
  <c r="D69" i="7"/>
  <c r="Y69" i="7" s="1"/>
  <c r="K11" i="26" l="1"/>
  <c r="K21" i="26" s="1"/>
  <c r="K17" i="26"/>
  <c r="L10" i="26"/>
  <c r="Z69" i="7"/>
  <c r="F24" i="32" l="1"/>
  <c r="F25" i="32"/>
  <c r="G25" i="8"/>
  <c r="B14" i="26"/>
  <c r="L11" i="26"/>
  <c r="L21" i="26" s="1"/>
  <c r="M10" i="26"/>
  <c r="L17" i="26"/>
  <c r="T11" i="12"/>
  <c r="AD11" i="12" s="1"/>
  <c r="F40" i="32" l="1"/>
  <c r="N25" i="32"/>
  <c r="N24" i="32"/>
  <c r="N39" i="32" s="1"/>
  <c r="F39" i="32"/>
  <c r="I11" i="15" s="1"/>
  <c r="T12" i="12" s="1"/>
  <c r="AD12" i="12" s="1"/>
  <c r="AD17" i="12" s="1"/>
  <c r="C14" i="26"/>
  <c r="B19" i="26"/>
  <c r="B20" i="26" s="1"/>
  <c r="M11" i="26"/>
  <c r="M21" i="26" s="1"/>
  <c r="N21" i="26" s="1"/>
  <c r="M17" i="26"/>
  <c r="N17" i="26" s="1"/>
  <c r="N10" i="26"/>
  <c r="N11" i="26" s="1"/>
  <c r="I17" i="15" l="1"/>
  <c r="T17" i="12"/>
  <c r="T24" i="12" s="1"/>
  <c r="T25" i="12" s="1"/>
  <c r="J11" i="15"/>
  <c r="F43" i="32"/>
  <c r="F42" i="32"/>
  <c r="D14" i="26"/>
  <c r="C19" i="26"/>
  <c r="C20" i="26" s="1"/>
  <c r="B22" i="26"/>
  <c r="AD24" i="12"/>
  <c r="I24" i="15" l="1"/>
  <c r="U12" i="12"/>
  <c r="L11" i="15"/>
  <c r="E14" i="26"/>
  <c r="D19" i="26"/>
  <c r="D20" i="26" s="1"/>
  <c r="C22" i="26"/>
  <c r="C25" i="15" l="1"/>
  <c r="I25" i="15"/>
  <c r="AE12" i="12"/>
  <c r="X12" i="12"/>
  <c r="W12" i="12"/>
  <c r="F14" i="26"/>
  <c r="E19" i="26"/>
  <c r="E20" i="26" s="1"/>
  <c r="D22" i="26"/>
  <c r="AH12" i="12" l="1"/>
  <c r="AG12" i="12"/>
  <c r="G14" i="26"/>
  <c r="F19" i="26"/>
  <c r="F20" i="26" s="1"/>
  <c r="E22" i="26"/>
  <c r="F22" i="26" l="1"/>
  <c r="H14" i="26"/>
  <c r="G19" i="26"/>
  <c r="G20" i="26" s="1"/>
  <c r="G22" i="26" l="1"/>
  <c r="I14" i="26"/>
  <c r="H19" i="26"/>
  <c r="H20" i="26" s="1"/>
  <c r="H22" i="26" l="1"/>
  <c r="J14" i="26"/>
  <c r="I19" i="26"/>
  <c r="I20" i="26" s="1"/>
  <c r="I22" i="26" l="1"/>
  <c r="K14" i="26"/>
  <c r="J19" i="26"/>
  <c r="J20" i="26" s="1"/>
  <c r="J22" i="26" l="1"/>
  <c r="L14" i="26"/>
  <c r="K19" i="26"/>
  <c r="K20" i="26" s="1"/>
  <c r="K22" i="26" l="1"/>
  <c r="M14" i="26"/>
  <c r="L19" i="26"/>
  <c r="L20" i="26" s="1"/>
  <c r="L22" i="26" l="1"/>
  <c r="M19" i="26"/>
  <c r="M20" i="26" s="1"/>
  <c r="N20" i="26" s="1"/>
  <c r="N22" i="26" s="1"/>
  <c r="N14" i="26"/>
  <c r="N19" i="26" s="1"/>
  <c r="M22" i="26" l="1"/>
  <c r="AB49" i="20"/>
  <c r="N37" i="32"/>
  <c r="N40" i="32" s="1"/>
  <c r="J8" i="15"/>
  <c r="J17" i="15" l="1"/>
  <c r="J24" i="15" s="1"/>
  <c r="D25" i="15" s="1"/>
  <c r="U9" i="12"/>
  <c r="N38" i="32" l="1"/>
  <c r="N41" i="32" s="1"/>
  <c r="AE9" i="12"/>
  <c r="AE17" i="12" s="1"/>
  <c r="AE24" i="12" s="1"/>
  <c r="AE25" i="12" s="1"/>
  <c r="U17" i="12"/>
  <c r="U24" i="12" s="1"/>
  <c r="U25" i="12" s="1"/>
  <c r="K8" i="15" l="1"/>
  <c r="C42" i="32"/>
  <c r="C43" i="32"/>
  <c r="N42" i="32"/>
  <c r="N43" i="32"/>
  <c r="K17" i="15" l="1"/>
  <c r="L8" i="15"/>
  <c r="V9" i="12"/>
  <c r="V17" i="12" l="1"/>
  <c r="W9" i="12"/>
  <c r="AF9" i="12"/>
  <c r="X9" i="12"/>
  <c r="L17" i="15"/>
  <c r="K24" i="15"/>
  <c r="AH9" i="12" l="1"/>
  <c r="AH17" i="12" s="1"/>
  <c r="AH24" i="12" s="1"/>
  <c r="X17" i="12"/>
  <c r="X24" i="12" s="1"/>
  <c r="E25" i="15"/>
  <c r="L24" i="15"/>
  <c r="K25" i="15"/>
  <c r="AF17" i="12"/>
  <c r="AG9" i="12"/>
  <c r="W17" i="12"/>
  <c r="V24" i="12"/>
  <c r="AG17" i="12" l="1"/>
  <c r="AF24" i="12"/>
  <c r="V25" i="12"/>
  <c r="W24" i="12"/>
  <c r="AF25" i="12" l="1"/>
  <c r="AG24" i="12"/>
  <c r="H21" i="12"/>
  <c r="M21" i="12" s="1"/>
  <c r="M23" i="12" s="1"/>
  <c r="M24" i="12" s="1"/>
  <c r="AD25" i="12" s="1"/>
  <c r="M19" i="12"/>
  <c r="H23" i="12" l="1"/>
  <c r="H24" i="12" s="1"/>
  <c r="Y25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H36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utolsó tétel a le nem vonható áfa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F49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IPA állami visszatérítés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F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tábor bevétel nem lett tervezve
</t>
        </r>
      </text>
    </comment>
    <comment ref="F14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rendezési terv továbbszámlázás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D14" authorId="0" shapeId="0" xr:uid="{00000000-0006-0000-08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Képviselői kerettel emelkedett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P11" authorId="0" shapeId="0" xr:uid="{00000000-0006-0000-0B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Védőnő bérkompenzáció
</t>
        </r>
      </text>
    </comment>
    <comment ref="D13" authorId="0" shapeId="0" xr:uid="{00000000-0006-0000-0B00-000002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közfoglalkoztatásra átcsoportosítva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Aliz</author>
  </authors>
  <commentList>
    <comment ref="U37" authorId="0" shapeId="0" xr:uid="{00000000-0006-0000-0F00-000001000000}">
      <text>
        <r>
          <rPr>
            <b/>
            <sz val="9"/>
            <color indexed="81"/>
            <rFont val="Tahoma"/>
            <family val="2"/>
            <charset val="238"/>
          </rPr>
          <t>Aliz: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timea</author>
  </authors>
  <commentList>
    <comment ref="C64" authorId="0" shapeId="0" xr:uid="{00000000-0006-0000-1200-000001000000}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a csökkenés oka a édv beruházás növekedése összege 886460</t>
        </r>
      </text>
    </comment>
  </commentList>
</comments>
</file>

<file path=xl/sharedStrings.xml><?xml version="1.0" encoding="utf-8"?>
<sst xmlns="http://schemas.openxmlformats.org/spreadsheetml/2006/main" count="2150" uniqueCount="1064">
  <si>
    <t>Polgármesteri Hivatal</t>
  </si>
  <si>
    <t>Sorszám</t>
  </si>
  <si>
    <t>Rovat megnevezése</t>
  </si>
  <si>
    <t>Rovat száma</t>
  </si>
  <si>
    <t>Mindösszesen</t>
  </si>
  <si>
    <t>Törvény szerinti illetmények, munkabérek</t>
  </si>
  <si>
    <t>K1101</t>
  </si>
  <si>
    <t>Normatív jutalmak</t>
  </si>
  <si>
    <t>K1102</t>
  </si>
  <si>
    <t>Céljuttatás, projektprémium</t>
  </si>
  <si>
    <t>K1103</t>
  </si>
  <si>
    <t>Készenléti, ügyeleti, helyettesítési díj, túlóra, túlszolgálat</t>
  </si>
  <si>
    <t>K1104</t>
  </si>
  <si>
    <t>Végkielégítés</t>
  </si>
  <si>
    <t>K1105</t>
  </si>
  <si>
    <t>Jubileumi jutalom</t>
  </si>
  <si>
    <t>K1106</t>
  </si>
  <si>
    <t>Béren kívüli juttatások</t>
  </si>
  <si>
    <t>K1107</t>
  </si>
  <si>
    <t>Ruházati költségtérítés</t>
  </si>
  <si>
    <t>K1108</t>
  </si>
  <si>
    <t>Közlekedési költségtérítés</t>
  </si>
  <si>
    <t>K1109</t>
  </si>
  <si>
    <t>Egyéb költségtérítések</t>
  </si>
  <si>
    <t>K1110</t>
  </si>
  <si>
    <t>Lakhatási támogatások</t>
  </si>
  <si>
    <t>K1111</t>
  </si>
  <si>
    <t>Szociális támogatások</t>
  </si>
  <si>
    <t>K1112</t>
  </si>
  <si>
    <t>Foglalkoztatottak egyéb személyi juttatásai</t>
  </si>
  <si>
    <t>K1113</t>
  </si>
  <si>
    <t>Foglalkoztatottak személyi juttatásai (=01+...+13)</t>
  </si>
  <si>
    <t>K11</t>
  </si>
  <si>
    <t>K121</t>
  </si>
  <si>
    <t>K122</t>
  </si>
  <si>
    <t>K123</t>
  </si>
  <si>
    <t>Külső személyi juttatások (=15+16+17)</t>
  </si>
  <si>
    <t>K12</t>
  </si>
  <si>
    <t>Személyi juttatások (=14+18)</t>
  </si>
  <si>
    <t>K1</t>
  </si>
  <si>
    <t>Munkaadókat terhelő járulékok és szociális hozzájárulási adó</t>
  </si>
  <si>
    <t>K2</t>
  </si>
  <si>
    <t xml:space="preserve">I. SZEMÉLYI JELLEGŰ RÁFORDÍTÁSOK ÉS JÁRULÉKOK MINDÖSSZESEN </t>
  </si>
  <si>
    <t>Szakmai anyagok beszerzése</t>
  </si>
  <si>
    <t>K311</t>
  </si>
  <si>
    <t>Könyvbeszerzés</t>
  </si>
  <si>
    <t>Vegyszer beszerzés</t>
  </si>
  <si>
    <t>Egyéb verizókövetési díja</t>
  </si>
  <si>
    <t>Üzemeltetési anyagok beszerzése</t>
  </si>
  <si>
    <t>K312</t>
  </si>
  <si>
    <t>Irodaszerbeszerzés</t>
  </si>
  <si>
    <t>Munkaruha,védőruha beszerzés</t>
  </si>
  <si>
    <t>Egyéb üzemeltetési anyagok</t>
  </si>
  <si>
    <t>Karbantartási anyag beszerzési</t>
  </si>
  <si>
    <t>Tisztítószer beszerzés</t>
  </si>
  <si>
    <t>Készletbeszerzés összesen</t>
  </si>
  <si>
    <t>K31</t>
  </si>
  <si>
    <t>Informatikai szolgáltatások igénybevétele</t>
  </si>
  <si>
    <t>K321</t>
  </si>
  <si>
    <t>Egyéb kommunikációs szolgáltatások</t>
  </si>
  <si>
    <t>K322</t>
  </si>
  <si>
    <t>Egyéb különféle informatikai szolg.</t>
  </si>
  <si>
    <t xml:space="preserve">Kommunikációs szolgáltatások </t>
  </si>
  <si>
    <t>K32</t>
  </si>
  <si>
    <t>Közüzemi díjak</t>
  </si>
  <si>
    <t>K331</t>
  </si>
  <si>
    <t>Gáz energia szolgáltatási díjak</t>
  </si>
  <si>
    <t>Víz díj</t>
  </si>
  <si>
    <t>Vásárolt élelmezés</t>
  </si>
  <si>
    <t>K332</t>
  </si>
  <si>
    <t>Gyermek étkeztetés beszerzés</t>
  </si>
  <si>
    <t>Bérleti és lízing díjak</t>
  </si>
  <si>
    <t>K333</t>
  </si>
  <si>
    <t>K334</t>
  </si>
  <si>
    <t>Közvetített szolgáltatások</t>
  </si>
  <si>
    <t>K335</t>
  </si>
  <si>
    <t>Szakmai tevékenységet segítő szolgáltatások</t>
  </si>
  <si>
    <t>K336</t>
  </si>
  <si>
    <t>Vásárolt közszolgáltatás</t>
  </si>
  <si>
    <t>Számlázott szellemi tevékenység</t>
  </si>
  <si>
    <t>Egyéb szolgáltatások</t>
  </si>
  <si>
    <t>K337</t>
  </si>
  <si>
    <t>Biztosítás, szolgáltatási díjak</t>
  </si>
  <si>
    <t>Postai szolgáltatás</t>
  </si>
  <si>
    <t>Szemétszállítási szolgáltatási díjak</t>
  </si>
  <si>
    <t>Pénzügyi,befekt.szolg.díj./Bankköltség/</t>
  </si>
  <si>
    <t>Egyéb üzemeltetési szolgáltatások (kéményseprés,rovarirtás, fogl.eü, egyéb üz.fennt.kiadási szolg.)</t>
  </si>
  <si>
    <t xml:space="preserve">Szolgáltatási kiadások </t>
  </si>
  <si>
    <t>K33</t>
  </si>
  <si>
    <t>Kiküldetések kiadásai</t>
  </si>
  <si>
    <t>K341</t>
  </si>
  <si>
    <t>Reklám- és propagandakiadások</t>
  </si>
  <si>
    <t>K342</t>
  </si>
  <si>
    <t xml:space="preserve">Kiküldetések, reklám- és propagandakiadások </t>
  </si>
  <si>
    <t>K34</t>
  </si>
  <si>
    <t>Működési célú előzetesen felszámított általános forgalmi adó</t>
  </si>
  <si>
    <t>K351</t>
  </si>
  <si>
    <t>Fizetendő általános forgalmi adó</t>
  </si>
  <si>
    <t>K352</t>
  </si>
  <si>
    <t>Kamatkiadások</t>
  </si>
  <si>
    <t>K353</t>
  </si>
  <si>
    <t>Egyéb pénzügyi műveletek kiadásai</t>
  </si>
  <si>
    <t>K354</t>
  </si>
  <si>
    <t>Egyéb dologi kiadások</t>
  </si>
  <si>
    <t>K355</t>
  </si>
  <si>
    <t xml:space="preserve">Költség általány 2015. évi </t>
  </si>
  <si>
    <t>Díjak, egyéb befizetések-fizetési felszólítási díjak</t>
  </si>
  <si>
    <t>Késedelmi kamat</t>
  </si>
  <si>
    <t>Egyéb különféle dologi kiadások</t>
  </si>
  <si>
    <t xml:space="preserve">Különféle befizetések és egyéb dologi kiadások </t>
  </si>
  <si>
    <t>K35</t>
  </si>
  <si>
    <t xml:space="preserve">II. Dologi kiadások </t>
  </si>
  <si>
    <t>K3</t>
  </si>
  <si>
    <t>Immateriális javak beszerzése, létesítése</t>
  </si>
  <si>
    <t>K61</t>
  </si>
  <si>
    <t>Ingatlanok beszerzése, létesítése</t>
  </si>
  <si>
    <t>K62</t>
  </si>
  <si>
    <t>Informatikai eszközök beszerzése, létesítése</t>
  </si>
  <si>
    <t>K63</t>
  </si>
  <si>
    <t>Egyéb tárgyi eszközök beszerzése, létesítése</t>
  </si>
  <si>
    <t>K64</t>
  </si>
  <si>
    <t>Részesedések beszerzése</t>
  </si>
  <si>
    <t>K65</t>
  </si>
  <si>
    <t>Meglévő részesedések növeléséhez kapcsolódó kiadások</t>
  </si>
  <si>
    <t>K66</t>
  </si>
  <si>
    <t>Beruházási célú előzetesen felszámított általános forgalmi adó</t>
  </si>
  <si>
    <t>K67</t>
  </si>
  <si>
    <t>Beruházások</t>
  </si>
  <si>
    <t>K6</t>
  </si>
  <si>
    <t>Ingatlanok felújítása</t>
  </si>
  <si>
    <t>K71</t>
  </si>
  <si>
    <t>Informatikai eszközök felújítása</t>
  </si>
  <si>
    <t>K72</t>
  </si>
  <si>
    <t>Egyéb tárgyi eszközök felújítása</t>
  </si>
  <si>
    <t>K73</t>
  </si>
  <si>
    <t>Felújítási célú előzetesen felszámított általános forgalmi adó</t>
  </si>
  <si>
    <t>K74</t>
  </si>
  <si>
    <t>Felújítások (=76+...+79)</t>
  </si>
  <si>
    <t>K7</t>
  </si>
  <si>
    <t>KIADÁSOK MINDÖSSZESEN</t>
  </si>
  <si>
    <t>K1-K8</t>
  </si>
  <si>
    <t>Bevételek</t>
  </si>
  <si>
    <t>Szolgáltatási bevételek</t>
  </si>
  <si>
    <t>B402</t>
  </si>
  <si>
    <t>Előző évi maradvány igénybevétele</t>
  </si>
  <si>
    <t>B813</t>
  </si>
  <si>
    <t>Intézményi finanszírozás</t>
  </si>
  <si>
    <t>B816</t>
  </si>
  <si>
    <t>BEVÉTELEK MINDÖSSZESEN</t>
  </si>
  <si>
    <t>Ellenőrző sor</t>
  </si>
  <si>
    <t>2018. ÉVI EREDETI ELŐIRÁNYZAT -TERV-</t>
  </si>
  <si>
    <t>Egyéb szakmaai anyag beszerzése</t>
  </si>
  <si>
    <t xml:space="preserve">Karbantartási, kisjavítási szolgáltatások </t>
  </si>
  <si>
    <t>MINDÖSSZESEN</t>
  </si>
  <si>
    <t>Támogatási forma</t>
  </si>
  <si>
    <t>Támogatás megnevezése</t>
  </si>
  <si>
    <t>Támogatás</t>
  </si>
  <si>
    <t>Mutató</t>
  </si>
  <si>
    <t>Ft/mutató</t>
  </si>
  <si>
    <t>Ft-ban</t>
  </si>
  <si>
    <t>Eredeti előirányzat</t>
  </si>
  <si>
    <t>I.1.a)</t>
  </si>
  <si>
    <t>Önkormányzati hivatal működésének támogatása (beszámítás után)</t>
  </si>
  <si>
    <t>4 580 000 Ft</t>
  </si>
  <si>
    <t>I.1.b)</t>
  </si>
  <si>
    <t>Település-üzemeltetéshez kapcsolódó feladatellátás támogatása (beszámítás után)</t>
  </si>
  <si>
    <t>I.1. b) ba)</t>
  </si>
  <si>
    <t>A zöldterület-gazdálkodással kapcsolatos feladatok ellátásának támogatása</t>
  </si>
  <si>
    <t>I.1. b) bb)</t>
  </si>
  <si>
    <t>Közvilágítás fenntartásának támogatása</t>
  </si>
  <si>
    <t>I.1. b) bc)</t>
  </si>
  <si>
    <t>Köztemető fenntartással kapcsolatos feladatok támogatása</t>
  </si>
  <si>
    <t>I.1. b) bd)</t>
  </si>
  <si>
    <t>Közutak fenntartásának támogatása</t>
  </si>
  <si>
    <t>I.1.c)</t>
  </si>
  <si>
    <t>Egyéb kötelező önkormányzati feladatok támogatása (beszámítás után)</t>
  </si>
  <si>
    <t>I.1.d)</t>
  </si>
  <si>
    <t>Lakott külterülettel kapcsolatos feladatok támogatása (beszámítás után)*</t>
  </si>
  <si>
    <t>I.1.e)</t>
  </si>
  <si>
    <t>Üdülőhelyi feladatok támogatása**</t>
  </si>
  <si>
    <t>I.</t>
  </si>
  <si>
    <t>Települési önkormányzatok általános működésének támogatása (B111)</t>
  </si>
  <si>
    <t>II.1.</t>
  </si>
  <si>
    <t>Óvodapedagógusok 8 havi támogatása</t>
  </si>
  <si>
    <t>Óvodapedagógusok 4 havi támogatása</t>
  </si>
  <si>
    <t>segítők 8 havi támogatása</t>
  </si>
  <si>
    <t>segítők 4 havi támogatása</t>
  </si>
  <si>
    <t>Óvodapedagógusok, és az óvodapedagógusok nevelőmunkáját közvetlenül segítők bértámogatása összesen (B112):</t>
  </si>
  <si>
    <t>II.2.</t>
  </si>
  <si>
    <t>óvodaműködtetési támogatás 8 havi támogatása</t>
  </si>
  <si>
    <t>óvodaműködtetési támogatás 4 havi támogatása</t>
  </si>
  <si>
    <t>Óvodaműködtetési támogatás összesen (B112):</t>
  </si>
  <si>
    <t>II.5.</t>
  </si>
  <si>
    <t>Kiegészítő támogatás az óvodapedagógusok minősítéséből adódó többlet kiadásokhoz</t>
  </si>
  <si>
    <t>Alapfokozatú végzettségű PED II. kieg támogatása</t>
  </si>
  <si>
    <t>Mesterfokozatú végzettségű MESTER PED.kat.kieg.támogatása</t>
  </si>
  <si>
    <t>II.</t>
  </si>
  <si>
    <t>Települési önkormányzatok egyes köznevelési feladatainak támogatása összesen (B112):</t>
  </si>
  <si>
    <t>III.2.</t>
  </si>
  <si>
    <t>A települési önkormányzatok szociális feladatainak egyéb támogatása</t>
  </si>
  <si>
    <t>III.3.</t>
  </si>
  <si>
    <t>Gyermekek napközbeni ellátása</t>
  </si>
  <si>
    <t>Bölcsődei ellátás</t>
  </si>
  <si>
    <t>fő</t>
  </si>
  <si>
    <t>III.5.</t>
  </si>
  <si>
    <t>Gyermekétkeztetés támogatása</t>
  </si>
  <si>
    <t>III.5.a)</t>
  </si>
  <si>
    <t>Gyermekétkeztetés szempontjából elismert dolgozók bértámogatása</t>
  </si>
  <si>
    <t>III.5.b)</t>
  </si>
  <si>
    <t>Gyermekétkezetés üzemeltetési támogatása</t>
  </si>
  <si>
    <t>III.6.</t>
  </si>
  <si>
    <t>Rászoruló gyermekek szünidei étkeztetési támogatása</t>
  </si>
  <si>
    <t>III.</t>
  </si>
  <si>
    <t>Települési önormányzatok szociális , gyermekjóléti és gyermekétkeztetési feladatainak támogatása összesen (B113)</t>
  </si>
  <si>
    <t>Könyvtári, közművelődési és múzeumi feladatok támogatása</t>
  </si>
  <si>
    <t>1140 Ft/fő</t>
  </si>
  <si>
    <t>IV.</t>
  </si>
  <si>
    <t>Települési önkormányzatok kulturális feladatok támogatása összesen (B114)</t>
  </si>
  <si>
    <t>V.</t>
  </si>
  <si>
    <t>Helyi önkormányzatok és többcélú kistérésgi társulások egyes költségvetési kapcsolatokból számított bevételei öszesen</t>
  </si>
  <si>
    <t>B16</t>
  </si>
  <si>
    <t>OEP finanszírozás</t>
  </si>
  <si>
    <t>Védőnői finanszírozás</t>
  </si>
  <si>
    <t>Elkülönített állami pénzalaptól érkező támogatás</t>
  </si>
  <si>
    <t>Közfoglalkoztatási támogatás</t>
  </si>
  <si>
    <t>I.1. jogcímekhez kapcsolódó kiegészítés Polgármesteri illetmény támogatása</t>
  </si>
  <si>
    <t>2016. évről áthúzódó bérkompenzáció támogatása</t>
  </si>
  <si>
    <t>adatok Forintban</t>
  </si>
  <si>
    <t>Általános kiadások (011130)</t>
  </si>
  <si>
    <t>Város- és községgazdálkodási feladatok (066020)</t>
  </si>
  <si>
    <t>Védőnői szolgálat (074031)</t>
  </si>
  <si>
    <t>Közfoglalkoztatási program (041233)</t>
  </si>
  <si>
    <t xml:space="preserve"> 2017. évi előirányzat Eredeti</t>
  </si>
  <si>
    <t xml:space="preserve">Készenléti, ügyeleti, helyettesítési díj, túlóra, túlszolgálat </t>
  </si>
  <si>
    <t xml:space="preserve">Béren kívüli juttatások </t>
  </si>
  <si>
    <t xml:space="preserve">Közlekedési költségtérítés </t>
  </si>
  <si>
    <t xml:space="preserve">Egyéb költségtérítések </t>
  </si>
  <si>
    <t>Egyéb személyi jellegű ráfordítások</t>
  </si>
  <si>
    <t xml:space="preserve">Foglalkoztatottak személyi juttatásai </t>
  </si>
  <si>
    <t xml:space="preserve">Választott tisztségviselők juttatásai </t>
  </si>
  <si>
    <t xml:space="preserve">Munkavégzésre irányuló egyéb jogviszonyban nem saját foglalkoztatottnak fizetett juttatások </t>
  </si>
  <si>
    <t xml:space="preserve">Egyéb külső személyi juttatások </t>
  </si>
  <si>
    <t xml:space="preserve">Külső személyi juttatások </t>
  </si>
  <si>
    <t xml:space="preserve">Személyi juttatások </t>
  </si>
  <si>
    <t xml:space="preserve">Munkaadókat terhelő járulékok és szociális hozzájárulási adó </t>
  </si>
  <si>
    <t>Kecskéd Község Önkormányzatának 2018. évi személyi jellegű ráfordításainak  táblázata</t>
  </si>
  <si>
    <t>Mindösszesen (zárójelben COFOG)</t>
  </si>
  <si>
    <t>Városüzemeltetési feladatok</t>
  </si>
  <si>
    <t>Egészségügyi feladat ellátás</t>
  </si>
  <si>
    <t>Egészségügyi feladat ellátás mindösszesen</t>
  </si>
  <si>
    <t>Kulutrális szolgáltatási tevékenység</t>
  </si>
  <si>
    <t>Közutak üzemeltetése (045160)</t>
  </si>
  <si>
    <t>Közvilágítás (064010)</t>
  </si>
  <si>
    <t>Köztemető fenntartása, üzemeltetése (013320)</t>
  </si>
  <si>
    <t>Zöldterület kezelés (066010)</t>
  </si>
  <si>
    <t>Szünidei gyermekétkeztetés (104037)</t>
  </si>
  <si>
    <t>Házi orvosi alap ellátás (072111)</t>
  </si>
  <si>
    <t>Házi orvosi ügyeleti ellátás (072112)</t>
  </si>
  <si>
    <t>ellenőrző oszlop</t>
  </si>
  <si>
    <t xml:space="preserve">Szakmai anyagok beszerzése </t>
  </si>
  <si>
    <t>Gyógyszer beszerzés</t>
  </si>
  <si>
    <t>Folyóírat</t>
  </si>
  <si>
    <t>Egyéb információ hordozó</t>
  </si>
  <si>
    <t>Egyéb szakmai anyag</t>
  </si>
  <si>
    <t xml:space="preserve">Üzemeltetési anyagok beszerzése </t>
  </si>
  <si>
    <t>Irodaszer-, nyomtatvány</t>
  </si>
  <si>
    <t>Vegyszerbeszerzés</t>
  </si>
  <si>
    <t>Hajtó- és kenőanyag beszerzés</t>
  </si>
  <si>
    <t>Karbantartási anyag beszerzés</t>
  </si>
  <si>
    <t>Egyéb üzemeltetési anyag</t>
  </si>
  <si>
    <t xml:space="preserve">Árubeszerzés </t>
  </si>
  <si>
    <t>K313</t>
  </si>
  <si>
    <t xml:space="preserve">Készletbeszerzés </t>
  </si>
  <si>
    <t xml:space="preserve">Informatikai szolgáltatások igénybevétele </t>
  </si>
  <si>
    <t>Informatikai eszközök, szolgáltatások bérleti díja</t>
  </si>
  <si>
    <t>Informatikai eszközök karbantartási díja</t>
  </si>
  <si>
    <t>Adatátviteli célú eszközök</t>
  </si>
  <si>
    <t>Egyéb különféle informatikai szolgáltatások</t>
  </si>
  <si>
    <t xml:space="preserve">Egyéb kommunikációs szolgáltatások </t>
  </si>
  <si>
    <t>Nem adatátviteli célú távközlési eszközök díja</t>
  </si>
  <si>
    <t>Egyéb különféle kommunikációs szolgáltatások díjai</t>
  </si>
  <si>
    <t xml:space="preserve">Közüzemi díjak </t>
  </si>
  <si>
    <t>Villamosenergia</t>
  </si>
  <si>
    <t>Gázenergia</t>
  </si>
  <si>
    <t>Vízdíj</t>
  </si>
  <si>
    <t xml:space="preserve">Vásárolt élelmezés </t>
  </si>
  <si>
    <t xml:space="preserve">Bérleti és lízing díjak </t>
  </si>
  <si>
    <t xml:space="preserve">Szakmai tevékenységet segítő szolgáltatások </t>
  </si>
  <si>
    <t>Egyéb szakmai szolgáltatások</t>
  </si>
  <si>
    <t xml:space="preserve">Egyéb szolgáltatások  </t>
  </si>
  <si>
    <t>Biztosítási díjak</t>
  </si>
  <si>
    <t>Bankköltségek</t>
  </si>
  <si>
    <t>Szállítási szolgáltatási díjak</t>
  </si>
  <si>
    <t>Postai díjak</t>
  </si>
  <si>
    <t>Szemétszállítási kiadások</t>
  </si>
  <si>
    <t>Egyéb üzemeltetési szolgáltatások</t>
  </si>
  <si>
    <t xml:space="preserve">Kiküldetések kiadásai </t>
  </si>
  <si>
    <t xml:space="preserve">Reklám- és propagandakiadások </t>
  </si>
  <si>
    <t xml:space="preserve">Működési célú előzetesen felszámított általános forgalmi adó </t>
  </si>
  <si>
    <t>Levonható ÁFA</t>
  </si>
  <si>
    <t>Le nem vonható ÁFA</t>
  </si>
  <si>
    <t xml:space="preserve">Fizetendő általános forgalmi adó  </t>
  </si>
  <si>
    <t xml:space="preserve">Egyéb dologi kiadások </t>
  </si>
  <si>
    <t>Díjak, egyéb kifizetések</t>
  </si>
  <si>
    <t>Késedelmi kamatok, pótlékok</t>
  </si>
  <si>
    <t>Különféle befizetések és egyéb dologi kiadások</t>
  </si>
  <si>
    <t xml:space="preserve">Dologi kiadások </t>
  </si>
  <si>
    <t>adatok Ft-ban</t>
  </si>
  <si>
    <t>Jogcímek</t>
  </si>
  <si>
    <t>4.1.1.</t>
  </si>
  <si>
    <t>Jogcím</t>
  </si>
  <si>
    <t>Egyéb kis értékű immateriális javak beszerzése (011130 COFOG, általános kiadások)</t>
  </si>
  <si>
    <t xml:space="preserve">Ingatlanok beszerzése, létesítése </t>
  </si>
  <si>
    <t xml:space="preserve">Informatikai eszközök beszerzése, létesítése </t>
  </si>
  <si>
    <t xml:space="preserve">Felújítások </t>
  </si>
  <si>
    <t>Megnevezés/Intézmény felhasználó megnevezése</t>
  </si>
  <si>
    <t>Feladat</t>
  </si>
  <si>
    <t>Személyi jellegű ráfordítások K1</t>
  </si>
  <si>
    <t>Kötelező</t>
  </si>
  <si>
    <t>Munkaadókat terhelő járulékok K2</t>
  </si>
  <si>
    <t>Dologi kiadások K3</t>
  </si>
  <si>
    <t>Beruházások K6</t>
  </si>
  <si>
    <t>Felújítások K7</t>
  </si>
  <si>
    <t>Mindösszesen kiadás intézmény:</t>
  </si>
  <si>
    <t>Működési célú bevételek B16</t>
  </si>
  <si>
    <t>Működési bevételek B4</t>
  </si>
  <si>
    <t>Működési célú kapott támogatások B6</t>
  </si>
  <si>
    <t>Előző év költségvetési maradványának igénybevétele B813</t>
  </si>
  <si>
    <t>Központi, irányítószervi támogatás B816</t>
  </si>
  <si>
    <t>Mindösszesen bevétel intézmény:</t>
  </si>
  <si>
    <t>Óvoda</t>
  </si>
  <si>
    <t>Költségvetési bevételek</t>
  </si>
  <si>
    <t>Költségvetési kiadások</t>
  </si>
  <si>
    <t xml:space="preserve">Rovat megnevezése </t>
  </si>
  <si>
    <t>Önkormányzat</t>
  </si>
  <si>
    <t>Intézményei</t>
  </si>
  <si>
    <t xml:space="preserve">Önkormányzatok működési támogatásai  </t>
  </si>
  <si>
    <t>B11</t>
  </si>
  <si>
    <t>Foglalkoztatottak személyi juttatásai</t>
  </si>
  <si>
    <t>Egyéb működési célú támogatások bevételei államháztartáson belülről</t>
  </si>
  <si>
    <t>Munkadókat terhelő járulékok és szociális hozzájárulási adó</t>
  </si>
  <si>
    <t>Működési célú támogatások államháztartáson belülről mindösszesen</t>
  </si>
  <si>
    <t>B1</t>
  </si>
  <si>
    <t>Dologi kiadások</t>
  </si>
  <si>
    <t xml:space="preserve">Felhalmozási célú támogatások államháztartáson belülről </t>
  </si>
  <si>
    <t>B2</t>
  </si>
  <si>
    <t>Ellátottak pénzbeli juttatásai  (K4)</t>
  </si>
  <si>
    <t>K4</t>
  </si>
  <si>
    <t>Közhatalmi bevételek mindösszesen:</t>
  </si>
  <si>
    <t>B3</t>
  </si>
  <si>
    <t>Egyéb működési célú kiadások</t>
  </si>
  <si>
    <t>K5</t>
  </si>
  <si>
    <t>Működési bevételek mindösszesen</t>
  </si>
  <si>
    <t>B4</t>
  </si>
  <si>
    <t xml:space="preserve">Működési célú átvett pénzeszközök </t>
  </si>
  <si>
    <t>B6</t>
  </si>
  <si>
    <t xml:space="preserve">Felhalmozási célú átvett pénzeszközök </t>
  </si>
  <si>
    <t>B7</t>
  </si>
  <si>
    <t xml:space="preserve">Költségvetési bevételek </t>
  </si>
  <si>
    <t xml:space="preserve"> (B1-B7)</t>
  </si>
  <si>
    <t xml:space="preserve">Költségvetési kiadások </t>
  </si>
  <si>
    <t>Előző év költségvetési maradványának igénybevétele</t>
  </si>
  <si>
    <t>(B8131)</t>
  </si>
  <si>
    <t xml:space="preserve">Államháztartáson belüli megelőlegezések visszafizetése </t>
  </si>
  <si>
    <t>K914</t>
  </si>
  <si>
    <t xml:space="preserve">Központi, irányító szervi támogatások folyósítása </t>
  </si>
  <si>
    <t>K915</t>
  </si>
  <si>
    <t xml:space="preserve">Belföldi finanszírozás bevételei </t>
  </si>
  <si>
    <t>(B81)</t>
  </si>
  <si>
    <t xml:space="preserve">Belföldi finanszírozás kiadásai </t>
  </si>
  <si>
    <t>K91</t>
  </si>
  <si>
    <t>Finanszírozási bevételek</t>
  </si>
  <si>
    <t>(B8)</t>
  </si>
  <si>
    <t xml:space="preserve">Finanszírozási kiadások </t>
  </si>
  <si>
    <t>K9</t>
  </si>
  <si>
    <t>Mindösszesen bevétel:</t>
  </si>
  <si>
    <t>Mindösszesen kiadás:</t>
  </si>
  <si>
    <t>ellenőrző sor:</t>
  </si>
  <si>
    <t>Megnevezés</t>
  </si>
  <si>
    <t xml:space="preserve">Vagyoni tipusú adók </t>
  </si>
  <si>
    <t>B34</t>
  </si>
  <si>
    <t xml:space="preserve">ebből: építményadó  </t>
  </si>
  <si>
    <t xml:space="preserve">ebből: magánszemélyek kommunális adója </t>
  </si>
  <si>
    <t xml:space="preserve">ebből: telekadó </t>
  </si>
  <si>
    <t xml:space="preserve">Értékesítési és forgalmi adók </t>
  </si>
  <si>
    <t>B351</t>
  </si>
  <si>
    <t xml:space="preserve">ebből: állandó jeleggel végzett iparűzési tevékenység után fizetett helyi iparűzési adó </t>
  </si>
  <si>
    <t>Gépjárműadók</t>
  </si>
  <si>
    <t>B354</t>
  </si>
  <si>
    <t>Termékek és szolgáltatások adói mindösszesen</t>
  </si>
  <si>
    <t>B35</t>
  </si>
  <si>
    <t xml:space="preserve">Egyéb közhatalmi bevételek </t>
  </si>
  <si>
    <t>B36</t>
  </si>
  <si>
    <t>ebből: egyéb települési adók</t>
  </si>
  <si>
    <t>ebből: pótlék</t>
  </si>
  <si>
    <t>1.900.000 Ft</t>
  </si>
  <si>
    <t>Kötelező feladatellátás</t>
  </si>
  <si>
    <t>Óvodai intézményi gyermekétkeztetés (COFOG:096015)</t>
  </si>
  <si>
    <t>ÓVODA MINDÖSSZESEN</t>
  </si>
  <si>
    <t>Reprezentáció</t>
  </si>
  <si>
    <t>egyéb szakmai anyag beszerzés</t>
  </si>
  <si>
    <t>óvodai éves beszámoló csomag</t>
  </si>
  <si>
    <t>Logopédiai szolgáltatás</t>
  </si>
  <si>
    <t xml:space="preserve">Orvosi ellátás </t>
  </si>
  <si>
    <t>Bankszámla vezetéshez kapcsolódó kiadások</t>
  </si>
  <si>
    <t>Szemét szállítási díj</t>
  </si>
  <si>
    <t>jénai tálak 20db</t>
  </si>
  <si>
    <t>merőkanalak</t>
  </si>
  <si>
    <t>ipari porszívó 1 db</t>
  </si>
  <si>
    <t>szőnyegek</t>
  </si>
  <si>
    <t>gyermekbútor(szükség lenne beszerzésre: 500.000 Ft)</t>
  </si>
  <si>
    <t>udvari játékok (minimum 2.000.000 Ft-os beszerzésre lenne szükség)</t>
  </si>
  <si>
    <t>egyéb (elkopott játékok pótlása)</t>
  </si>
  <si>
    <t>fejlesztőjátékok</t>
  </si>
  <si>
    <t>kézi mixer</t>
  </si>
  <si>
    <t>Sencor CD-s rádió</t>
  </si>
  <si>
    <t>III. BERUHÁZÁSI KIADÁSOK ÖSSZESEN:</t>
  </si>
  <si>
    <t>Egyéb tárgyi eszközök felújítása (KAZÁN)</t>
  </si>
  <si>
    <r>
      <t>Felújítási célú előzetesen felszámított általános forgalmi adó</t>
    </r>
    <r>
      <rPr>
        <b/>
        <sz val="11"/>
        <color indexed="10"/>
        <rFont val="Times New Roman"/>
        <family val="1"/>
        <charset val="238"/>
      </rPr>
      <t xml:space="preserve"> </t>
    </r>
  </si>
  <si>
    <t>IV. FELÚJÍTÁSI KIADÁSOK ÖSSZESEN:</t>
  </si>
  <si>
    <t>KIADÁSOK ÖSSZESEN:</t>
  </si>
  <si>
    <t>B405</t>
  </si>
  <si>
    <t>Intézményi étkeztetés ÁFA</t>
  </si>
  <si>
    <t>B406</t>
  </si>
  <si>
    <t>ebből állami normatíva dologi  kiadások</t>
  </si>
  <si>
    <t>ebből állami normatíva: Személyi jellegű ráfordítások</t>
  </si>
  <si>
    <t xml:space="preserve">ebből önkormányzati saját forrás </t>
  </si>
  <si>
    <t>2018. évi eredeti</t>
  </si>
  <si>
    <t>Óvodai nevelés, működési feladatok (091140)</t>
  </si>
  <si>
    <t>Óvodai nevelés, szakmai feladatok (COFOG: 091130)-Nemzetiségi</t>
  </si>
  <si>
    <t>Óvodai nevelés, szakmai feladatok (COFOG: 091110)-Általános</t>
  </si>
  <si>
    <t>2017. évi előirányzat</t>
  </si>
  <si>
    <t>Karbantartási, kisjavítási szolgáltatások</t>
  </si>
  <si>
    <t>Védőnői szolgálat (074032)</t>
  </si>
  <si>
    <t>B355</t>
  </si>
  <si>
    <t>Internet díja</t>
  </si>
  <si>
    <t>Telefon díja (mobil és vezetékes)</t>
  </si>
  <si>
    <t xml:space="preserve">Egyéb szakmai szolgáltatás (tanfolyamdíj, konferenciák)     </t>
  </si>
  <si>
    <t>1. számú melléklet</t>
  </si>
  <si>
    <t>2.számú melléklet</t>
  </si>
  <si>
    <t>3. számú melléklet</t>
  </si>
  <si>
    <t>4. számú melléklet</t>
  </si>
  <si>
    <t>5.melléklet</t>
  </si>
  <si>
    <t>6. melléklet</t>
  </si>
  <si>
    <t>7. melléklet</t>
  </si>
  <si>
    <t>12. melléklet</t>
  </si>
  <si>
    <t>13. melléklet</t>
  </si>
  <si>
    <t>14. melléklet</t>
  </si>
  <si>
    <t>Áru- és készletértékesítés ellenértéke</t>
  </si>
  <si>
    <t xml:space="preserve">Szolgáltatások ellenértéke  / igazgatási tevékenység </t>
  </si>
  <si>
    <t xml:space="preserve">Közvetített szolgáltatások értéke </t>
  </si>
  <si>
    <t>Tulajdonosi bevételek</t>
  </si>
  <si>
    <t>Reptér bérlet</t>
  </si>
  <si>
    <t>Lakbér</t>
  </si>
  <si>
    <t>Sport bérlet</t>
  </si>
  <si>
    <t>Közterület - mozgóárus</t>
  </si>
  <si>
    <t>Ellátási díjak</t>
  </si>
  <si>
    <t>Kiszámlázott általános forgalmi adó</t>
  </si>
  <si>
    <t>Általános forgalmi adó visszatérítése</t>
  </si>
  <si>
    <t>Egyéb működési bevételek</t>
  </si>
  <si>
    <t>Működési bevételek (=18+…+26)</t>
  </si>
  <si>
    <t>Rovat</t>
  </si>
  <si>
    <t>B401</t>
  </si>
  <si>
    <t>B403</t>
  </si>
  <si>
    <t>B404</t>
  </si>
  <si>
    <t>B407</t>
  </si>
  <si>
    <t>B411</t>
  </si>
  <si>
    <t>Egyéb</t>
  </si>
  <si>
    <t>Kecskéd Község Önkormányzatának 2018. évi dologi kiadás táblázata</t>
  </si>
  <si>
    <t>2018. évi előirányzat eredeti</t>
  </si>
  <si>
    <t>Szennyvízcsatorna építése, üzemeltetése (052080)</t>
  </si>
  <si>
    <t>Közművelődési feladatok (082091)</t>
  </si>
  <si>
    <t>Kulturális szolgáltatási tevékenység mindösszesen</t>
  </si>
  <si>
    <t>Előző évhez képest eltérés</t>
  </si>
  <si>
    <t>Rendezvények</t>
  </si>
  <si>
    <t>Könyvtári tevékenység</t>
  </si>
  <si>
    <t xml:space="preserve">           Falunap </t>
  </si>
  <si>
    <r>
      <t>Szüreti mulatság</t>
    </r>
    <r>
      <rPr>
        <sz val="8"/>
        <rFont val="Arial"/>
        <family val="2"/>
        <charset val="238"/>
      </rPr>
      <t xml:space="preserve"> ( minden páros év )</t>
    </r>
  </si>
  <si>
    <t>Idősek napja</t>
  </si>
  <si>
    <t>Falukarácsony és advent</t>
  </si>
  <si>
    <t>Fogorvosi ügyeleti ellátás (072312)</t>
  </si>
  <si>
    <t>107060</t>
  </si>
  <si>
    <t>II. Rendkívüli települési támogatás</t>
  </si>
  <si>
    <t>103010</t>
  </si>
  <si>
    <t>Települési támogatások szoc.tv.</t>
  </si>
  <si>
    <t>2018. évi eredeti előirányzat</t>
  </si>
  <si>
    <t>084031</t>
  </si>
  <si>
    <t>072311</t>
  </si>
  <si>
    <t>Fogorvosi szolgálat</t>
  </si>
  <si>
    <t>072111</t>
  </si>
  <si>
    <t>Háziorvosi szolgálat</t>
  </si>
  <si>
    <t>Támogatás civil szervezeteknek</t>
  </si>
  <si>
    <t xml:space="preserve">Sport Egyesület TAO pályázat önrész </t>
  </si>
  <si>
    <t xml:space="preserve">Képviselői keret </t>
  </si>
  <si>
    <t>Egyéb működési célú támogatások államháztartáson belülre (K506)</t>
  </si>
  <si>
    <t>Egyéb működési célú támogatások államháztartáson kívülre (K512)</t>
  </si>
  <si>
    <t>Mindösszesen (K5)</t>
  </si>
  <si>
    <t>EMMI- Bursa Hungarica</t>
  </si>
  <si>
    <t>Kecskéd Község Önkormányzatának beruházási és felújításai tábla</t>
  </si>
  <si>
    <t>Városüzemeltetési feladatok mindösszesen 2018. évi eredeti előirányzat</t>
  </si>
  <si>
    <t>Szociális feladat ellátás mindösszesen 2018. évi eredeti előirányzat</t>
  </si>
  <si>
    <t>Gyermek étkeztetés</t>
  </si>
  <si>
    <t>Gyermekétkeztetés (096015)</t>
  </si>
  <si>
    <t>Díjak, egyéb befizetések</t>
  </si>
  <si>
    <t>Informatikai biztonság üzemeltetése (Közinformatika  Nonprofit Kft.) 20.000 Ft/hó</t>
  </si>
  <si>
    <t>Mobil szolgáltatás díja Magyar Telekom</t>
  </si>
  <si>
    <t>Karbantartási, kisjavítási szolgáltatások - hivatal épületében várható kiskarbantartási munkák</t>
  </si>
  <si>
    <t>Gazdasági szaktanácsadó (könyvelés, adatszolgáltatás)</t>
  </si>
  <si>
    <t>Munkavédelmi szolgáltatás - Fehér József</t>
  </si>
  <si>
    <t>TÖOSZ tagdíj</t>
  </si>
  <si>
    <t>Vértes- Gerecse tagdíj</t>
  </si>
  <si>
    <t>Közép-Duna Vidéke Önk.Társulás</t>
  </si>
  <si>
    <t>Komáromi Vízitársulat</t>
  </si>
  <si>
    <t>Fakivágás</t>
  </si>
  <si>
    <t>Hóeltakarítási munkálatok</t>
  </si>
  <si>
    <t>Közbeszerzési szakértő</t>
  </si>
  <si>
    <t>Közbeszerzési eljárási díj</t>
  </si>
  <si>
    <t>MINDÖSSZSEN</t>
  </si>
  <si>
    <t>8.melléklet</t>
  </si>
  <si>
    <t>9.melléklet</t>
  </si>
  <si>
    <t>Közművelődési szolgáltatás</t>
  </si>
  <si>
    <t>Kecskédi Új Tükör lapkiadás</t>
  </si>
  <si>
    <t>Kecskédről prospektus</t>
  </si>
  <si>
    <t>Építményadó</t>
  </si>
  <si>
    <t>Felhalmozási célú nyújott kölcsönök</t>
  </si>
  <si>
    <t>Általános tartalék</t>
  </si>
  <si>
    <t>K513</t>
  </si>
  <si>
    <t>Felhalmozási célú nyújtott kölcsönök</t>
  </si>
  <si>
    <t>10.melléklet</t>
  </si>
  <si>
    <t>11.melléklet</t>
  </si>
  <si>
    <t>15. melléklet</t>
  </si>
  <si>
    <t>16. melléklet</t>
  </si>
  <si>
    <t>17. melléklet</t>
  </si>
  <si>
    <t>18. melléklet</t>
  </si>
  <si>
    <t>Jogi képviseleti díj</t>
  </si>
  <si>
    <t>Közterület karbantartási munkáltatok (pl. buszmegálló)</t>
  </si>
  <si>
    <t>2155 fő</t>
  </si>
  <si>
    <t>Gyermekjóléti és családsegítő szolgálat</t>
  </si>
  <si>
    <t>Házi segítségnyújtás</t>
  </si>
  <si>
    <t>Hitel felvétele</t>
  </si>
  <si>
    <t>Hitel felvétele beruházáshoz kapcsolódó -Út felújítás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</si>
  <si>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</si>
  <si>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</si>
  <si>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</si>
  <si>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</si>
  <si>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</si>
  <si>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</si>
  <si>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</si>
  <si>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</si>
  <si>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</si>
  <si>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</si>
  <si>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</si>
  <si>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</si>
  <si>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mindösszesen</t>
  </si>
  <si>
    <t>B E V É T E L E K</t>
  </si>
  <si>
    <t>Önkormányzat és intézményei</t>
  </si>
  <si>
    <t>Önkormányzat gazd kör. működési bevételei</t>
  </si>
  <si>
    <t>Önkormányzat gazd.kör. felhalmozási bevételei</t>
  </si>
  <si>
    <t>Költségvetési szervek bevételei</t>
  </si>
  <si>
    <t>Bevételek összesen:</t>
  </si>
  <si>
    <t>K I A D Á S O K</t>
  </si>
  <si>
    <t>Önkormányzat és Intézményei</t>
  </si>
  <si>
    <t>Működési kiadásai</t>
  </si>
  <si>
    <t>Felhalmozási kiadásai</t>
  </si>
  <si>
    <t>Felújítási kiadásai</t>
  </si>
  <si>
    <t>Megelőlegezés</t>
  </si>
  <si>
    <t>Kiadások összesen:</t>
  </si>
  <si>
    <t>Önkormányzat kiadásai összesen:</t>
  </si>
  <si>
    <t>Önkormányzat bevételei összesen:</t>
  </si>
  <si>
    <t>Bevételek, kiadások egyenlege</t>
  </si>
  <si>
    <t>Intézmény /szakfeladat/</t>
  </si>
  <si>
    <t>Engedélyezett létszám</t>
  </si>
  <si>
    <t>szakmai létszám</t>
  </si>
  <si>
    <t>egyéb létszám</t>
  </si>
  <si>
    <t xml:space="preserve">Polgármesteri Hivatal </t>
  </si>
  <si>
    <t xml:space="preserve">Önkormányzat </t>
  </si>
  <si>
    <t>összeg</t>
  </si>
  <si>
    <t>Összesen</t>
  </si>
  <si>
    <t>adatok forintban</t>
  </si>
  <si>
    <t>MEGNEVEZÉS</t>
  </si>
  <si>
    <t>Saját bevétel és adósságot keletkeztető ügyletből eredő fizetési kötelezettség összegei</t>
  </si>
  <si>
    <t>ÖSSZESEN
7=(3+4+5+6)</t>
  </si>
  <si>
    <t>Helyi adók</t>
  </si>
  <si>
    <t>01</t>
  </si>
  <si>
    <t>Osztalék, koncessziós díjak</t>
  </si>
  <si>
    <t>02</t>
  </si>
  <si>
    <t>Díjak, pótlékok, bírságok</t>
  </si>
  <si>
    <t>03</t>
  </si>
  <si>
    <t>Tárgyi eszközök, immateriális javak, vagyoni értékű jog értékesítése, vagyonhasznosításból származó bevétel</t>
  </si>
  <si>
    <t>04</t>
  </si>
  <si>
    <t>Részvények, részesedések értékesítése</t>
  </si>
  <si>
    <t>05</t>
  </si>
  <si>
    <t>Vállalatértékesítésből, privatizációból származó bevételek</t>
  </si>
  <si>
    <t>06</t>
  </si>
  <si>
    <t>Kezességvállalással kapcsolatos megtérülés</t>
  </si>
  <si>
    <t>07</t>
  </si>
  <si>
    <t>Saját bevételek (01+… .+07)</t>
  </si>
  <si>
    <t>08</t>
  </si>
  <si>
    <t xml:space="preserve">Saját bevételek  (08. sor)  50%-a </t>
  </si>
  <si>
    <t>09</t>
  </si>
  <si>
    <t>Előző év(ek)ben keletkezett tárgyévi fizetési kötelezettség (11+…..+17)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</si>
  <si>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</si>
  <si>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</si>
  <si>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</si>
  <si>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</si>
  <si>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</si>
  <si>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</si>
  <si>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</si>
  <si>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Tárgyévben keletkezett, illetve keletkező, tárgyévet terhelő fizetési kötelezettség (19+…..+25)</t>
  </si>
  <si>
    <t>Fizetési kötelezettség összesen (10+18)</t>
  </si>
  <si>
    <t>Fizetési kötelezettséggel csökkentett saját bevétel (09-26)</t>
  </si>
  <si>
    <t>Kecskéd Község  Önkormányzata adósságot keletkeztető ügyleteiből eredő fizetési kötelezettségeinek bemutatása</t>
  </si>
  <si>
    <t>Kötelezettség jogcíme</t>
  </si>
  <si>
    <t>Kötelezettség vállalás éve</t>
  </si>
  <si>
    <t>Lejárat éve</t>
  </si>
  <si>
    <t>MŰKÖDÉSI CÉLÚ KÖTELEZETTSÉGEK ÖSSZESEN</t>
  </si>
  <si>
    <t>FELHALMOZÁSI CÉLÚ KÖTELEZETTSÉGEK ÖSSZESEN</t>
  </si>
  <si>
    <t>MINDÖSSZESEN:</t>
  </si>
  <si>
    <t>Kecskéd Község Önkormányzatának több éves kihatással járó kötelezettségei</t>
  </si>
  <si>
    <t>ebből: IFA</t>
  </si>
  <si>
    <t xml:space="preserve">                            Zárópénzkészlet kimutatás</t>
  </si>
  <si>
    <t>polgármester</t>
  </si>
  <si>
    <t>védőnő</t>
  </si>
  <si>
    <t>ÖSSZESEN</t>
  </si>
  <si>
    <t xml:space="preserve"> Óvoda,konyha</t>
  </si>
  <si>
    <t>Áht.24.§.(4).bek.c.pont</t>
  </si>
  <si>
    <t>Településüzemeltetési feladatok</t>
  </si>
  <si>
    <t>8.sz. melléklet</t>
  </si>
  <si>
    <t xml:space="preserve">19. melléklet </t>
  </si>
  <si>
    <t xml:space="preserve">                                                                          Kecskéd Község Önkormányzatának 2018. évi előirányzat felhasználási és likviditási terve</t>
  </si>
  <si>
    <t xml:space="preserve">20. melléklet </t>
  </si>
  <si>
    <t>létszámkerete</t>
  </si>
  <si>
    <t xml:space="preserve">Telekadó </t>
  </si>
  <si>
    <t xml:space="preserve">Magánsz. Kom.a. </t>
  </si>
  <si>
    <t xml:space="preserve">22. melléklet </t>
  </si>
  <si>
    <t>kötelezettségeinek bemutatása</t>
  </si>
  <si>
    <t xml:space="preserve">23. melléklet </t>
  </si>
  <si>
    <t>Teljesítés %-ban</t>
  </si>
  <si>
    <t>Előirányzat</t>
  </si>
  <si>
    <t>Települési önkormányzatok működési támogatásai (B115)</t>
  </si>
  <si>
    <t>%-ban</t>
  </si>
  <si>
    <t>Bursa Hungarica visszatérített összege</t>
  </si>
  <si>
    <t>Teljesítés</t>
  </si>
  <si>
    <t>Teljesítés Ft-ban</t>
  </si>
  <si>
    <t xml:space="preserve">Városüzemeltetési feladatok mindösszesen </t>
  </si>
  <si>
    <t>Személyi jellegű ráfordítás</t>
  </si>
  <si>
    <t>Járulék</t>
  </si>
  <si>
    <t>Szüreti mulatság ( minden páros év )</t>
  </si>
  <si>
    <t>Módosított előirányzat</t>
  </si>
  <si>
    <t>VI.</t>
  </si>
  <si>
    <t>Elszámolásból származó bevétel (B116)</t>
  </si>
  <si>
    <t>Csatorna bérleti díja</t>
  </si>
  <si>
    <t>Mercedes gépjármű bérleti díj</t>
  </si>
  <si>
    <t>ADÓALÓLMENTES</t>
  </si>
  <si>
    <t>Biztosító által fizetett kártérítés</t>
  </si>
  <si>
    <t>B410</t>
  </si>
  <si>
    <t>2018. évi módosított előirányzat</t>
  </si>
  <si>
    <t>Teljesítés %-ban (Időarányos elvárt teljesítés: 75%</t>
  </si>
  <si>
    <t>Basic fejlesztési csomag beszerzése (pályázatok elkészítéséhez)</t>
  </si>
  <si>
    <t>Egyéb személyi jellegű kiadások</t>
  </si>
  <si>
    <t>Módosított ei</t>
  </si>
  <si>
    <t>Cafeteria</t>
  </si>
  <si>
    <t>Egyéb személyi juttatások</t>
  </si>
  <si>
    <t>Egyéb költségtérítés</t>
  </si>
  <si>
    <t>Dologi kiadás</t>
  </si>
  <si>
    <t>Maradvány</t>
  </si>
  <si>
    <t>2018. évi módosított ei.</t>
  </si>
  <si>
    <t>2018.09.30. Teljesítés</t>
  </si>
  <si>
    <t>Mindösszesen teljesítés</t>
  </si>
  <si>
    <t>ÁH-n belül átvett pénzeszköz</t>
  </si>
  <si>
    <t>Felújítások</t>
  </si>
  <si>
    <t>Általános kiadás</t>
  </si>
  <si>
    <t>Egészségügyi feladatok</t>
  </si>
  <si>
    <t>Kulturális szolgáltatások</t>
  </si>
  <si>
    <t>Település támogatás</t>
  </si>
  <si>
    <t>Rovat megnevezése/Feladat ellátás</t>
  </si>
  <si>
    <t>Átadott pénzeszközök</t>
  </si>
  <si>
    <t>Személyi jellegű ráfordítás K1</t>
  </si>
  <si>
    <t>Járulékok K2</t>
  </si>
  <si>
    <t>Települési támogatások K4</t>
  </si>
  <si>
    <t>Átadott pénzeszközök K5</t>
  </si>
  <si>
    <t>Település üzemeltetés</t>
  </si>
  <si>
    <t>Közfoglalkoztatási t ámogatás</t>
  </si>
  <si>
    <t>Kecskéd Község Önkormányzat kiadásainak összefoglaló táblázata</t>
  </si>
  <si>
    <t>Egyéb felhalmozási célú kiadások K8</t>
  </si>
  <si>
    <t>Tartalék K513</t>
  </si>
  <si>
    <t>Intézményfinanszírozás K915</t>
  </si>
  <si>
    <t>Megelőlegezés K914</t>
  </si>
  <si>
    <t>Maradvány, intézményi finanszírozás, megelőlegezés</t>
  </si>
  <si>
    <t>10. Mozgáskorlátozottak Egyesülete</t>
  </si>
  <si>
    <t>3. Oroszlányi Mentőállomás működésének támogatás</t>
  </si>
  <si>
    <t>Egyéb rendezvények</t>
  </si>
  <si>
    <t>Önkormányzati Szociális Szolgálat</t>
  </si>
  <si>
    <t>Étkeztetési feladatok</t>
  </si>
  <si>
    <t>Szociális étkeztetés (107051)</t>
  </si>
  <si>
    <t>FELHASZNÁLÁS COFOG</t>
  </si>
  <si>
    <t>011130-Általános</t>
  </si>
  <si>
    <t>011120-Adó</t>
  </si>
  <si>
    <t>066010-Zöldterült</t>
  </si>
  <si>
    <t>064010-Közvilágítás</t>
  </si>
  <si>
    <t>013320-Köztemető fenntartás</t>
  </si>
  <si>
    <t>045160-Közutak</t>
  </si>
  <si>
    <t>Eltérés</t>
  </si>
  <si>
    <t>091110-Óvoda szakmai</t>
  </si>
  <si>
    <t>0911130-Óvoda nemzetiségi</t>
  </si>
  <si>
    <t>091140-Működési kiadás</t>
  </si>
  <si>
    <t>107060-Szociális támogatás</t>
  </si>
  <si>
    <t>096015-Gyermekétkeztetés (csökkentve a bevétellel)</t>
  </si>
  <si>
    <t>082091-Műv.fel</t>
  </si>
  <si>
    <t>107051-Szociális étkeztetés</t>
  </si>
  <si>
    <t>Átadott pénzeszköz</t>
  </si>
  <si>
    <t>11130-Általános</t>
  </si>
  <si>
    <t>091110-Óvodai</t>
  </si>
  <si>
    <t>096015-Gyermekétk.</t>
  </si>
  <si>
    <t>Visszafizetendő normatíva</t>
  </si>
  <si>
    <t xml:space="preserve">Átadott pénzeszközök 2021. év </t>
  </si>
  <si>
    <t>Egyéb kapott kamatok</t>
  </si>
  <si>
    <t>B408</t>
  </si>
  <si>
    <t>Vagyongazdálkodás (013350)</t>
  </si>
  <si>
    <t>Védőnői szolgálat (074031,074032)</t>
  </si>
  <si>
    <t>IV. Szociális szolg.</t>
  </si>
  <si>
    <t>Házi segítségnyújtás, családsegítés br.</t>
  </si>
  <si>
    <t>Ssz</t>
  </si>
  <si>
    <t>Számla száma</t>
  </si>
  <si>
    <t>Kecskédi Napközi Otthonos Óvoda</t>
  </si>
  <si>
    <t>63300020-11072009</t>
  </si>
  <si>
    <t>Kecskédi Német Nemzetiségi Önkormányzat</t>
  </si>
  <si>
    <t>63300020-11068446</t>
  </si>
  <si>
    <t>63300020-11068288</t>
  </si>
  <si>
    <t>63300020-12000980</t>
  </si>
  <si>
    <t>63300020-11070863</t>
  </si>
  <si>
    <t>Önkorm. beruh.célú fedezetbizt. számla</t>
  </si>
  <si>
    <t>63300020-12001046</t>
  </si>
  <si>
    <t>Egyéb elkülönített számla (TOP rendelő, kerékpárút megnyitva: 2016.III.30.)</t>
  </si>
  <si>
    <t>63300020-11079109</t>
  </si>
  <si>
    <t>63300020-11098742</t>
  </si>
  <si>
    <t>Építményadó beszedési számla</t>
  </si>
  <si>
    <t>63300020-12006010</t>
  </si>
  <si>
    <t>Telekadóbeszedési számla</t>
  </si>
  <si>
    <t>63300020-12007035</t>
  </si>
  <si>
    <t>63300020-11048974</t>
  </si>
  <si>
    <t>Tartózkodási idő utáni idegenforgalmi adó beszedési számla</t>
  </si>
  <si>
    <t>63300020-11098728</t>
  </si>
  <si>
    <t>Iparűzési adó beszedési számla</t>
  </si>
  <si>
    <t>63300020-12005239</t>
  </si>
  <si>
    <t>63300020-12001015</t>
  </si>
  <si>
    <t>63300020-12006058</t>
  </si>
  <si>
    <t>Bírság beszedési számla</t>
  </si>
  <si>
    <t>63300020-12006041</t>
  </si>
  <si>
    <t>Államigazgatási elj.ill.sz. (egyéb bevételek)</t>
  </si>
  <si>
    <t>63300020-11048606</t>
  </si>
  <si>
    <t>TOP-4.1.1-15-K01-2016-00019 garanc.bizt. (Tomayer)</t>
  </si>
  <si>
    <t>50430347-10007015</t>
  </si>
  <si>
    <t>Állami hozzájárulás számla</t>
  </si>
  <si>
    <t>63300020-12007523</t>
  </si>
  <si>
    <t>Termőföld bérbeadásból származó jöv. beszedési számla</t>
  </si>
  <si>
    <t>63300020-12006034</t>
  </si>
  <si>
    <t>63300020-12000997</t>
  </si>
  <si>
    <t>Talajterhelési számla</t>
  </si>
  <si>
    <t>63300020-11046965</t>
  </si>
  <si>
    <t>63300020-11040330</t>
  </si>
  <si>
    <t>63300020-12006027</t>
  </si>
  <si>
    <t>Egyéb elkülönített számla 2. (Magyar Falu program)</t>
  </si>
  <si>
    <t>63300020-11077554</t>
  </si>
  <si>
    <t>Előrehozott adók számla</t>
  </si>
  <si>
    <t>63300020-00072445</t>
  </si>
  <si>
    <t>MÁK – TOP Kerékpár út</t>
  </si>
  <si>
    <t>10036004-00349305-00000017</t>
  </si>
  <si>
    <t>MÁK – TOP Iskola</t>
  </si>
  <si>
    <t>10036004-00349305-00000024</t>
  </si>
  <si>
    <t>MÁK -TOP Orvosi rendelő</t>
  </si>
  <si>
    <t>10036004- 00349305-00000031</t>
  </si>
  <si>
    <t>10036004-00349305-00000048</t>
  </si>
  <si>
    <t>Betét számla</t>
  </si>
  <si>
    <t>63300020-34797514</t>
  </si>
  <si>
    <t>63300020-34800025</t>
  </si>
  <si>
    <t>63300020-34800032</t>
  </si>
  <si>
    <t>63300020-34800049</t>
  </si>
  <si>
    <t>63300020-34800070</t>
  </si>
  <si>
    <t>Betét számla (főszámlás)</t>
  </si>
  <si>
    <t>63300020-34932478</t>
  </si>
  <si>
    <t>50430347-10011726</t>
  </si>
  <si>
    <t>Járdapályázathoz önerő</t>
  </si>
  <si>
    <t>Temető mögötti út kialakítása és murvaburkolat elkészítése</t>
  </si>
  <si>
    <t>Új utca tervezési ktg</t>
  </si>
  <si>
    <t>Magyar falu program pályázathoz tervezési és egyéb költségek</t>
  </si>
  <si>
    <t>Rendezési terv (bruttó)</t>
  </si>
  <si>
    <t>Öreg iskola melletti kerítés (bruttó)</t>
  </si>
  <si>
    <t>Garázs</t>
  </si>
  <si>
    <t>Iskola beruházás (bruttó)</t>
  </si>
  <si>
    <t>Óvoda fűtés rendezés</t>
  </si>
  <si>
    <t>Fényképezőgép, állvány, digitalizáláshoz eszközök</t>
  </si>
  <si>
    <t>Óvoda villamoshálózatának felülvizsgálata, és felújítása</t>
  </si>
  <si>
    <t>Óvodai szolg lakás konyvhaszekrény</t>
  </si>
  <si>
    <t>Karácsonyi világítás</t>
  </si>
  <si>
    <t>ÉDV értéknövelő beruházás</t>
  </si>
  <si>
    <t>Kliktől átvett pénzeszköz hozáadott önerő 10% (konténerterem alap)</t>
  </si>
  <si>
    <t>2019. évi előirányzat</t>
  </si>
  <si>
    <t>Adatok</t>
  </si>
  <si>
    <t>2019. évi eredeti</t>
  </si>
  <si>
    <t>2019.10.31. Teljesítés</t>
  </si>
  <si>
    <t>2018. évi módosított</t>
  </si>
  <si>
    <t>Módosítás</t>
  </si>
  <si>
    <t>2019.10.31. Módosított</t>
  </si>
  <si>
    <t>Könyvelés alapján</t>
  </si>
  <si>
    <t>2019.11.31. Teljesítés bér és dollogi 12.31.</t>
  </si>
  <si>
    <t>Egyéb jogviszony (Fejlesztő ped.; gyógyped.)</t>
  </si>
  <si>
    <t>karácsonyi játékvásár</t>
  </si>
  <si>
    <t>Számítógép beszerzés (notebook)</t>
  </si>
  <si>
    <t>TP link, optikai kábel beszerzés, beszereléssel</t>
  </si>
  <si>
    <r>
      <t>Beruházási célú előzetesen felszámított általános forgalmi adó</t>
    </r>
    <r>
      <rPr>
        <sz val="11"/>
        <color indexed="10"/>
        <rFont val="Times New Roman"/>
        <family val="1"/>
        <charset val="238"/>
      </rPr>
      <t xml:space="preserve"> </t>
    </r>
  </si>
  <si>
    <t>-</t>
  </si>
  <si>
    <t>Egyéb bevétel</t>
  </si>
  <si>
    <t>MARADVÁNY ÖSSZEGE</t>
  </si>
  <si>
    <t>2019. évi eredeti előirányzat</t>
  </si>
  <si>
    <t>2019. ÉVI EREDETI ELŐIRÁNYZAT -TERV-</t>
  </si>
  <si>
    <t>2019.10.31. Módosított előirányzat</t>
  </si>
  <si>
    <t>Teljesítés 2019.10.31.</t>
  </si>
  <si>
    <t xml:space="preserve">Munkavégzésre irányuló egyéb jogviszonyban nem saját foglalkoztatottaknak fizetett juttatások </t>
  </si>
  <si>
    <t>Egyéb külső személyi juttatások-reprezentáció (Választási bérktg+ Adós bér)</t>
  </si>
  <si>
    <t>Egyéb dologi kiadások (koszorú, egyéb…)</t>
  </si>
  <si>
    <t>Állami támogatás (B16)</t>
  </si>
  <si>
    <t>Normatíva támogatás</t>
  </si>
  <si>
    <t>Önkormányzati saját bevételből átutalt</t>
  </si>
  <si>
    <t>ellenőrző sor</t>
  </si>
  <si>
    <t>KSK támogatás bérleti díj miatt</t>
  </si>
  <si>
    <t>Tábor bevétel</t>
  </si>
  <si>
    <t>Felhalmozási célú beruházási összeg-Széchenyi utca járda, MFP Felelős állattartás, szolg lakás, művház</t>
  </si>
  <si>
    <t>óvodaműködtetési támogatás 12 havi támogatása</t>
  </si>
  <si>
    <t>Óvodapedagógusok 12 havi támogatása</t>
  </si>
  <si>
    <t>ped II. kat. Kieg támogatás</t>
  </si>
  <si>
    <t>segítők 12 havi támogatása</t>
  </si>
  <si>
    <t>066020-Általános városgazdálkodási feladatok, sportlétesítmény , állateü</t>
  </si>
  <si>
    <t>eltérés oka a munkanyagban található összeadási hiba miatt</t>
  </si>
  <si>
    <t>Munkavégzésre irányuló egyéb jobviszony nem saját foglalkoztatottataknak fizetett juttatás</t>
  </si>
  <si>
    <t>MFP szolgálati lakás</t>
  </si>
  <si>
    <t>Kecskéd Község Önkormányzatának 2022. évi közhatalmi bevételei</t>
  </si>
  <si>
    <t>2022. évi előirányzat eredeti előirányzat</t>
  </si>
  <si>
    <t>2022. évi módosított előirányzat</t>
  </si>
  <si>
    <t>Kecskéd, 2022.</t>
  </si>
  <si>
    <t xml:space="preserve">Települési támogatások 2022. év </t>
  </si>
  <si>
    <t>2022. évi eredeti előirányzat</t>
  </si>
  <si>
    <t>4. Egyéb támogatás (Anna napi fesztivál, gyengénlátok, mentők stb, Alapítvány) részletezve a civil szervezeteknél fűnyíró</t>
  </si>
  <si>
    <t>2022. terv</t>
  </si>
  <si>
    <t>Módosított előirányzat 2022.</t>
  </si>
  <si>
    <t>Pályázati többletköltség</t>
  </si>
  <si>
    <t>Tüzoltószertár szakaszos felújítása I. ütem +II. ütem</t>
  </si>
  <si>
    <t>Főkönyvi szám</t>
  </si>
  <si>
    <t>2021.12.31.záró pénzkészlet</t>
  </si>
  <si>
    <t>Utolsó bankkivonat sorszáma</t>
  </si>
  <si>
    <t>Utolsó bankkivonat dátuma</t>
  </si>
  <si>
    <t>Nyitó bankkivonat dátuma</t>
  </si>
  <si>
    <t>1.</t>
  </si>
  <si>
    <t>2.</t>
  </si>
  <si>
    <t>Kecskéd Község Polgármesteri Hivatala</t>
  </si>
  <si>
    <t>3.</t>
  </si>
  <si>
    <t>4.</t>
  </si>
  <si>
    <t>Kecskéd Község Önkormányzata</t>
  </si>
  <si>
    <t>5.</t>
  </si>
  <si>
    <t>Közfoglalkoztatási áll.tám.átvez.számla</t>
  </si>
  <si>
    <t>6.</t>
  </si>
  <si>
    <t>7.</t>
  </si>
  <si>
    <t>8.</t>
  </si>
  <si>
    <t>Egyéb elkülönített számla 3. (TOP Iskola,megnyitva: 2017.V.11.)</t>
  </si>
  <si>
    <t>9.</t>
  </si>
  <si>
    <t>10.</t>
  </si>
  <si>
    <t>11.</t>
  </si>
  <si>
    <t>Magánszemélyek kommunális adója beszedési számla</t>
  </si>
  <si>
    <t>12.</t>
  </si>
  <si>
    <t>13.</t>
  </si>
  <si>
    <t>14.</t>
  </si>
  <si>
    <t>Gépjárműadó beszedési számla</t>
  </si>
  <si>
    <t>15.</t>
  </si>
  <si>
    <t>Pótlék beszedési számla (Késedelmi pótlék)</t>
  </si>
  <si>
    <t>16.</t>
  </si>
  <si>
    <t>17.</t>
  </si>
  <si>
    <t>18.</t>
  </si>
  <si>
    <t>19.</t>
  </si>
  <si>
    <t>20.</t>
  </si>
  <si>
    <t>21.</t>
  </si>
  <si>
    <t>Egyéb bevételek beszedési számla</t>
  </si>
  <si>
    <t>22.</t>
  </si>
  <si>
    <t>23.</t>
  </si>
  <si>
    <t>Idegenbevételek számla</t>
  </si>
  <si>
    <t>24.</t>
  </si>
  <si>
    <t>Vállalkozók kommunális adója beszedési számla</t>
  </si>
  <si>
    <t>25.</t>
  </si>
  <si>
    <t>26.</t>
  </si>
  <si>
    <t>27.</t>
  </si>
  <si>
    <t>28.</t>
  </si>
  <si>
    <t>29.</t>
  </si>
  <si>
    <t>30.</t>
  </si>
  <si>
    <t>MÁK - TOP Bölcsőde</t>
  </si>
  <si>
    <t>31.</t>
  </si>
  <si>
    <t>Következő lekötés dátuma: 2022.01.24.</t>
  </si>
  <si>
    <t>32.</t>
  </si>
  <si>
    <t>33.</t>
  </si>
  <si>
    <t>34.</t>
  </si>
  <si>
    <t>35.</t>
  </si>
  <si>
    <t>36.</t>
  </si>
  <si>
    <t>37.</t>
  </si>
  <si>
    <t>Intézmények étkezési díj</t>
  </si>
  <si>
    <t>Kecskédi Polgármesteri  Hivatal 2022. évi költségvetési táblázata - és teljesítési adatai</t>
  </si>
  <si>
    <t>Óvoda 2022. évi költségvetése</t>
  </si>
  <si>
    <t>2022.terv konyha (2fő)</t>
  </si>
  <si>
    <t>öregiskola kerítés és kemence</t>
  </si>
  <si>
    <t>2022.terv  Sárai Ildikó (1fő)</t>
  </si>
  <si>
    <t>2022.terv  nemzetiség (5fő)</t>
  </si>
  <si>
    <t>2022.terv sima+dajka (5fő)</t>
  </si>
  <si>
    <t>Kecskéd Község Önkormányzata fenntartása alatt működő költségvetési szervek összesített 2022. évi költségvetési tábla</t>
  </si>
  <si>
    <t>2022. évi TERV előirányzat</t>
  </si>
  <si>
    <t xml:space="preserve">Kecskéd Község Önkormányzatának 2022. évi összesített intézményi szintű mérlege </t>
  </si>
  <si>
    <t>Polgármesteri Hivatal épületének felújítása</t>
  </si>
  <si>
    <t>Bölcsőde, óvoda udvarrendezés, kerítés, óvoda melletti terület vásárlás, böcsőde víz és szennyvízbekötés</t>
  </si>
  <si>
    <t>Óvoda előtti terület rendezés, templom előtti terület</t>
  </si>
  <si>
    <t>Homokbánya területvásárlás és előkészítési munkálatok</t>
  </si>
  <si>
    <t>Horgásztó árapasztó szabályózó felújítása, cseréje</t>
  </si>
  <si>
    <t>Óvoda csoportszoba kialakítás</t>
  </si>
  <si>
    <t>ovi ktgvetésében</t>
  </si>
  <si>
    <t>Kecskéd Község Önkormányzatát megillető 2022. évi normatíva és államháztartáson belüli átvett pénzeszközök</t>
  </si>
  <si>
    <t>2022. ÉVI NORMATÍVA</t>
  </si>
  <si>
    <t xml:space="preserve">Egyéb támogatások </t>
  </si>
  <si>
    <t>Teljesített 2022.05.31.</t>
  </si>
  <si>
    <t>Maradvány 2022.05.31.</t>
  </si>
  <si>
    <t>Teljesítés %-ban 2022.05.31.</t>
  </si>
  <si>
    <t>Egyéb inf.hord.szakmai anyag beszerzés DM SONE havi díja</t>
  </si>
  <si>
    <t>Számítástechnikai anyag (festékpatron, kártyaolvasó)</t>
  </si>
  <si>
    <t>Élelmiszer vásárlása</t>
  </si>
  <si>
    <t>Gázolaj/benzin</t>
  </si>
  <si>
    <t>Koszorú, virágcsokor</t>
  </si>
  <si>
    <t>Covid 19 antigén gyorstesztek</t>
  </si>
  <si>
    <t>Fénymásoló karbantartása</t>
  </si>
  <si>
    <t>Informatikai karbantartás</t>
  </si>
  <si>
    <t>Weblap, Business Webhosting</t>
  </si>
  <si>
    <t>Gordius múlt adatainak használata</t>
  </si>
  <si>
    <t>WinSzoc rendszer biztosítása</t>
  </si>
  <si>
    <t>Egyéb informatikai szolgáltatás igénybevétele</t>
  </si>
  <si>
    <t>Telefon díja</t>
  </si>
  <si>
    <t>TV előfizetés</t>
  </si>
  <si>
    <t>Gáz díj</t>
  </si>
  <si>
    <t>Villamos energia díj</t>
  </si>
  <si>
    <t>Egyéb számviteli szolgáltatás (belsõ ellenõrzés)</t>
  </si>
  <si>
    <t>Számviteli szolgáltatás</t>
  </si>
  <si>
    <t>Egyéb számviteli szolgáltatás</t>
  </si>
  <si>
    <t>Munkavédelmi feladatok ellátása</t>
  </si>
  <si>
    <t>E-hiteles térképmásolat díjak</t>
  </si>
  <si>
    <t>HP Deskjet tintasugaras nyomtató</t>
  </si>
  <si>
    <t>Kingston 240 GB SSD</t>
  </si>
  <si>
    <t>Epson EcoTank L3210 színes tintasugaras nyomtató</t>
  </si>
  <si>
    <t>Fehér irodai szék</t>
  </si>
  <si>
    <t>HOP1000998-1 irodai szék fekete</t>
  </si>
  <si>
    <t>Teljesítés 2022.05.31.</t>
  </si>
  <si>
    <t>MINDÖSSZESEN TELJESÍTÉS 2022.05.31.</t>
  </si>
  <si>
    <t>Maradvány  2022.05.31.</t>
  </si>
  <si>
    <t>Számítástechnikai kellék (pendrive)</t>
  </si>
  <si>
    <t>Egyéb üzemeltetési szolgáltatások (rágcsálóírtás, munka- és tűzvédelmi feladatok, tűzoltókészülékek cseréje, távfelügyeleti szolgáltatás, kéményellenőrzés díja)</t>
  </si>
  <si>
    <t xml:space="preserve">                               alátámasztó dokumentuma az ebr42 rendszerben szereplő felmérés 2022. évre vonatkozóan</t>
  </si>
  <si>
    <t>2022.05.31. Teljesítési adat</t>
  </si>
  <si>
    <t xml:space="preserve">Egyéb áruhasználati és szolgáltatási adók  </t>
  </si>
  <si>
    <r>
      <t>Gyermekétkeztetés szülői befizetés</t>
    </r>
    <r>
      <rPr>
        <b/>
        <sz val="12"/>
        <rFont val="Times New Roman"/>
        <family val="1"/>
        <charset val="238"/>
      </rPr>
      <t xml:space="preserve"> NETTÓ</t>
    </r>
  </si>
  <si>
    <t>27%</t>
  </si>
  <si>
    <t>Kecskéd Község Önkormányzat                                                                                                                                         Működési célú bevételei  2022.</t>
  </si>
  <si>
    <t>Bankszámla vezetési díjak - Takarékbank Zrt.</t>
  </si>
  <si>
    <t>Újság készítése megszerkesztett minta alapján (Kecskédi Új Tükör)</t>
  </si>
  <si>
    <t>Információbiztonsági felelős biztosítás -HANGANOV Kft.</t>
  </si>
  <si>
    <t>Áltar-Ér Vízgyűjtő Szövetség tagdíj</t>
  </si>
  <si>
    <t>Egyéb dologi, Kerekítési különbözet, pótlék</t>
  </si>
  <si>
    <t>KECSKÉD KÖZSÉG ÖNKORMÁNYZAT ÁLTALÁNOS KIADÁSAI                                                                                      011130 COFOG</t>
  </si>
  <si>
    <r>
      <t xml:space="preserve">Karbantartási, kisjavítási szolgáltatások - </t>
    </r>
    <r>
      <rPr>
        <b/>
        <sz val="12"/>
        <color rgb="FFFF0000"/>
        <rFont val="Times New Roman"/>
        <family val="1"/>
        <charset val="238"/>
      </rPr>
      <t>Városgazdálkodási feladatokhoz kapcsolódó karbantartási munkálatok, pl. hézagjavítási munkálatok az utakon</t>
    </r>
  </si>
  <si>
    <t>Hajtó- és kenőanyag beszerzés (ÜZEMANYAG)</t>
  </si>
  <si>
    <t>KECSKÉD KÖZSÉG ÖNKORMÁNYZAT KIADÁSAI                                                                                                                 Közfoglalkoztatás</t>
  </si>
  <si>
    <t>Internet költség (Művelődési Ház)</t>
  </si>
  <si>
    <t>Telefon költség (Művelődési Ház)</t>
  </si>
  <si>
    <t>Kiemelt állami és önkormányzati rendezvények (016080)</t>
  </si>
  <si>
    <t>Szüreti mulatság (minden páros év)</t>
  </si>
  <si>
    <t>Kecskédi Tükör,Prospektusok (011130)</t>
  </si>
  <si>
    <t>KECSKÉD KÖZSÉG ÖNKORMÁNYZAT KIADÁSAI                                                                                                                                                                                                 Közművelődési feladatok</t>
  </si>
  <si>
    <t>Közutak üzemeltetése (045120, 045160), Kerékpárút pályázat dologi kiadása</t>
  </si>
  <si>
    <t>Sportlétesítmények, edzőtáborok működtetése és fejlesztése (081030)</t>
  </si>
  <si>
    <t>Állat-egészégügy (042180); Településfejlesztési projektek és támogatásuk (062020)</t>
  </si>
  <si>
    <t xml:space="preserve">KECSKÉD KÖZSÉG ÖNKORMÁNYZAT KIADÁSAI                                                                                                                                                                                                                Településüzemeltetési feladatok                         </t>
  </si>
  <si>
    <t>Gyermekétkeztetés köznevelési intézményben (096015)</t>
  </si>
  <si>
    <t>KECSKÉD KÖZSÉG ÖNKORMÁNYZAT KIADÁSAI                                                                                                                                                                                                                                                                                 Gyermekétkeztetési feladatok</t>
  </si>
  <si>
    <t>Háziorvosi alapellátás (072111)</t>
  </si>
  <si>
    <t>Házi orvosi ügyeleti ellátás, Fertőző megbetegedések megelőzése, járványügyi ellátás (072112,074040)</t>
  </si>
  <si>
    <t>Fogorvosi alapellátás (072311)</t>
  </si>
  <si>
    <t>KECSKÉD KÖZSÉG ÖNKORMÁNYZAT KIADÁSAI                                                                                                                                                                                                                                                                                                                                                                                                                    Egészségügyi feladatok</t>
  </si>
  <si>
    <t>Kecskéd Község Önkormányzatának 2022. évben nyújtandó közvetett támogatásai</t>
  </si>
  <si>
    <t>21. melléklet</t>
  </si>
  <si>
    <t xml:space="preserve">Kecskéd Község Önkormányzatának és fenntartása alatt működő intézményeknek 2022. évi engedélyezett </t>
  </si>
  <si>
    <t xml:space="preserve">Közfoglalkoztatás </t>
  </si>
  <si>
    <t>Teljes munkaidős</t>
  </si>
  <si>
    <t>Részmunkaidős</t>
  </si>
  <si>
    <t>Választott köztiszt.</t>
  </si>
  <si>
    <t xml:space="preserve">Engedélyezett létszám összesen </t>
  </si>
  <si>
    <t>2022. január 01.</t>
  </si>
  <si>
    <t>Közfoglalkozatott</t>
  </si>
  <si>
    <t xml:space="preserve">ebből:egyéb bírság </t>
  </si>
  <si>
    <t>1. Lakhatáshoz kapcsolódó rendszeres kiadások (Szoctv 45.§(1)bek a.)</t>
  </si>
  <si>
    <t>2. Ápolási díj (Szoctv 45. § (1) b.)</t>
  </si>
  <si>
    <t>3.Gyógyszertámogatás (Szoctv 45.§ (1) c.)</t>
  </si>
  <si>
    <t>Egyéb intézményi ellátások (K48)</t>
  </si>
  <si>
    <t>I. Települési támogatás (Szoctv 45. §)</t>
  </si>
  <si>
    <t xml:space="preserve">2. Beteggyermek ellátás </t>
  </si>
  <si>
    <t>3. Temetési segély (Szoc.tv. 46.§</t>
  </si>
  <si>
    <t>5. Rendkívüli gyermekvédelmi támogatás</t>
  </si>
  <si>
    <t>7. Óvoda kezdési támogatás</t>
  </si>
  <si>
    <t>8. Általános iskolások iskolakezdési támogatás  5.000.-ft/fő</t>
  </si>
  <si>
    <t>9. Közép és felsőbbfokú intézm. tanulók iskolakezdési tám. 8.000.-ft/fő</t>
  </si>
  <si>
    <t>10. Karácsonyi támogatás iskola, óvoda 2.000,-ft/gyerek</t>
  </si>
  <si>
    <t>11. Idősek karácsonyi támogatása 6000.-ft/fő 70 év felettiek 270 fő</t>
  </si>
  <si>
    <t>12.Szociális tüzifa szállítás  + önrész</t>
  </si>
  <si>
    <t>1. Átmeneti segély (Szoc.tv. 45. § )</t>
  </si>
  <si>
    <t>4. Újszülöttek támogatás 30.000.-ft/fő</t>
  </si>
  <si>
    <t>6. Étkezés térítési díj mérséklése szociális alapon (Szoc.tv. 62.§)Oroszlány</t>
  </si>
  <si>
    <t xml:space="preserve">1.       Sport Egyesület  </t>
  </si>
  <si>
    <t xml:space="preserve">2.       Horgász Egyesület  </t>
  </si>
  <si>
    <t xml:space="preserve">3.       Lovas Baráti Kör    </t>
  </si>
  <si>
    <t xml:space="preserve">4.       Néptánc Egyesület   </t>
  </si>
  <si>
    <t xml:space="preserve">5.       Tűzoltó Egyesület </t>
  </si>
  <si>
    <t xml:space="preserve">6.       Dalárda  </t>
  </si>
  <si>
    <t xml:space="preserve">7.       Nyugdíjas Klub  </t>
  </si>
  <si>
    <t xml:space="preserve">8.       Bendegúz Vére Egyesület </t>
  </si>
  <si>
    <t>9.       Vakok és Gyengén-látók egyesülete</t>
  </si>
  <si>
    <t>Működési támogatás - Német Nemzetiségi Önkormányzat</t>
  </si>
  <si>
    <t>Közép-Duna Vidéke Hulladékgaz. Önk.Társulás</t>
  </si>
  <si>
    <t>Sport 75, Lovas 11, Nyugdíja 25 jubileum</t>
  </si>
  <si>
    <r>
      <t>V</t>
    </r>
    <r>
      <rPr>
        <b/>
        <i/>
        <sz val="10"/>
        <rFont val="Times New Roman"/>
        <family val="1"/>
        <charset val="238"/>
      </rPr>
      <t>ízelvezetés tervezés</t>
    </r>
    <r>
      <rPr>
        <sz val="10"/>
        <rFont val="Times New Roman"/>
        <family val="1"/>
        <charset val="238"/>
      </rPr>
      <t xml:space="preserve"> (Belterületi terület - Malomárok rendezés terve) (bruttó)</t>
    </r>
  </si>
  <si>
    <t>Ürgehegy vezetékes ívóvíz ellátásának költségei önrész</t>
  </si>
  <si>
    <t>Szagelszívó vagy eszközök - Művelődési Ház</t>
  </si>
  <si>
    <t>Játszótér felülviszgálat, felújítás</t>
  </si>
  <si>
    <t>Ütéscsillapító projekt játszótér</t>
  </si>
  <si>
    <t>Düllőben murvás út</t>
  </si>
  <si>
    <t>Új honlap</t>
  </si>
  <si>
    <t>Sorompó kerékpárúthoz fényvisszaverő</t>
  </si>
  <si>
    <t>Hidak javítása</t>
  </si>
  <si>
    <r>
      <t>V</t>
    </r>
    <r>
      <rPr>
        <b/>
        <i/>
        <sz val="10"/>
        <rFont val="Times New Roman"/>
        <family val="1"/>
        <charset val="238"/>
      </rPr>
      <t>ízelvezetés tervezés</t>
    </r>
    <r>
      <rPr>
        <sz val="10"/>
        <rFont val="Times New Roman"/>
        <family val="1"/>
        <charset val="238"/>
      </rPr>
      <t xml:space="preserve"> (Belterületi terület - Malomárok rendezés terve)</t>
    </r>
  </si>
  <si>
    <r>
      <t xml:space="preserve">MFP </t>
    </r>
    <r>
      <rPr>
        <b/>
        <i/>
        <sz val="10"/>
        <rFont val="Times New Roman"/>
        <family val="1"/>
        <charset val="238"/>
      </rPr>
      <t>Művelődési Ház</t>
    </r>
  </si>
  <si>
    <t>Művelődési Ház - térkőjavítás, általáson felújítás</t>
  </si>
  <si>
    <t>Sport területvásárlás</t>
  </si>
  <si>
    <t>Magyar Falu Program - Óvoda felújítás+projektmen.díj</t>
  </si>
  <si>
    <t>Óvoda felújítás önerő</t>
  </si>
  <si>
    <t>Magyar Falu Program óvodaeszközbeszerzés</t>
  </si>
  <si>
    <t>Ipari park út tervezés</t>
  </si>
  <si>
    <t>Felújítási célú előzetesen felszámított általános forgalmi adó (K74)</t>
  </si>
  <si>
    <t>Öregiskola fűtéskorszerűsítés1</t>
  </si>
  <si>
    <t>Kiegészítő támogatás - nemzetiségi pótlék (plusz pénz)</t>
  </si>
  <si>
    <t>A települési önkormányzatok szociális feladatainak egyéb támogatása (B1131)</t>
  </si>
  <si>
    <t>Fogorvosi feladatellátás</t>
  </si>
  <si>
    <t>Iskolai egészségügyi finanszírozás</t>
  </si>
  <si>
    <t>Teljesítési adat 2022.05.31.</t>
  </si>
  <si>
    <t>Orvosi, fogorvosi rendelő eszközbeszerzés (székek)</t>
  </si>
  <si>
    <t>Felújítások - K7</t>
  </si>
  <si>
    <t>Beruházások - K6</t>
  </si>
  <si>
    <t>Traktor  sószóró</t>
  </si>
  <si>
    <t>Bölcsőde</t>
  </si>
  <si>
    <t>Tornapark melleti járda kb 50m 15000,- ft/m2</t>
  </si>
  <si>
    <t>Teljesítés %-ban (Időarányos elvárt teljesítés: 75%)</t>
  </si>
  <si>
    <t>2022.</t>
  </si>
  <si>
    <t>3171209-3057954</t>
  </si>
  <si>
    <t>A helyi önkormányzatok előző évi elszámolásából származó kiadások</t>
  </si>
  <si>
    <t>Nnö-nek nyújtott átmeneti támogatás</t>
  </si>
  <si>
    <t>Államháztartáson belüli megelőlegezések</t>
  </si>
  <si>
    <t>(B814)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</si>
</sst>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Ft&quot;_-;\-* #,##0.00\ &quot;Ft&quot;_-;_-* &quot;-&quot;??\ &quot;Ft&quot;_-;_-@_-"/>
    <numFmt numFmtId="164" formatCode="_-* #,##0\ _F_t_-;\-* #,##0\ _F_t_-;_-* &quot;-&quot;\ _F_t_-;_-@_-"/>
    <numFmt numFmtId="165" formatCode="_-* #,##0.00\ _F_t_-;\-* #,##0.00\ _F_t_-;_-* &quot;-&quot;??\ _F_t_-;_-@_-"/>
    <numFmt numFmtId="166" formatCode="_-* #,##0\ _F_t_-;\-* #,##0\ _F_t_-;_-* &quot;-&quot;??\ _F_t_-;_-@_-"/>
    <numFmt numFmtId="167" formatCode="_-* #,##0\ &quot;Ft&quot;_-;\-* #,##0\ &quot;Ft&quot;_-;_-* &quot;-&quot;??\ &quot;Ft&quot;_-;_-@_-"/>
    <numFmt numFmtId="168" formatCode="_-* #,##0\ [$Ft-40E]_-;\-* #,##0\ [$Ft-40E]_-;_-* &quot;-&quot;??\ [$Ft-40E]_-;_-@_-"/>
    <numFmt numFmtId="169" formatCode="#,##0\ [$Ft-40E];[Red]\-#,##0\ [$Ft-40E]"/>
    <numFmt numFmtId="170" formatCode="_-* #,##0\ &quot;HUF&quot;_-;\-* #,##0\ &quot;HUF&quot;_-;_-* &quot;-&quot;??\ &quot;HUF&quot;_-;_-@_-"/>
    <numFmt numFmtId="171" formatCode="#,##0_ ;\-#,##0\ "/>
    <numFmt numFmtId="172" formatCode="#,##0.0_ ;\-#,##0.0\ "/>
    <numFmt numFmtId="173" formatCode="#,##0\ &quot;Ft&quot;"/>
  </numFmts>
  <fonts count="13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 ce"/>
      <charset val="238"/>
    </font>
    <font>
      <b/>
      <sz val="9.9"/>
      <color theme="1"/>
      <name val="Arial ce"/>
      <charset val="238"/>
    </font>
    <font>
      <sz val="11"/>
      <color rgb="FF000000"/>
      <name val="Arial ce"/>
    </font>
    <font>
      <sz val="9.9"/>
      <color rgb="FF000000"/>
      <name val="Arial ce"/>
    </font>
    <font>
      <b/>
      <sz val="7.7"/>
      <color rgb="FF000000"/>
      <name val="Arial ce"/>
    </font>
    <font>
      <i/>
      <sz val="9.9"/>
      <color rgb="FF000000"/>
      <name val="Arial"/>
      <family val="2"/>
      <charset val="238"/>
    </font>
    <font>
      <sz val="7.7"/>
      <color rgb="FF000000"/>
      <name val="Arial"/>
      <family val="2"/>
      <charset val="238"/>
    </font>
    <font>
      <i/>
      <sz val="9.9"/>
      <color rgb="FF000000"/>
      <name val="Arial ce"/>
    </font>
    <font>
      <b/>
      <sz val="9.9"/>
      <color rgb="FF000000"/>
      <name val="Arial ce"/>
    </font>
    <font>
      <sz val="12"/>
      <name val="Arial"/>
      <family val="2"/>
      <charset val="238"/>
    </font>
    <font>
      <sz val="9"/>
      <color rgb="FF000000"/>
      <name val="Arial CE"/>
      <family val="2"/>
      <charset val="238"/>
    </font>
    <font>
      <i/>
      <sz val="9"/>
      <color rgb="FF000000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9"/>
      <color rgb="FF000000"/>
      <name val="Arial CE"/>
      <charset val="238"/>
    </font>
    <font>
      <b/>
      <sz val="9"/>
      <color rgb="FF000000"/>
      <name val="Arial CE"/>
      <charset val="238"/>
    </font>
    <font>
      <b/>
      <sz val="9"/>
      <color rgb="FF993300"/>
      <name val="Arial CE"/>
      <charset val="238"/>
    </font>
    <font>
      <b/>
      <sz val="9"/>
      <color rgb="FF0000FF"/>
      <name val="Arial CE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Times New Roman"/>
      <family val="1"/>
      <charset val="238"/>
    </font>
    <font>
      <b/>
      <sz val="11"/>
      <name val="Bookman Old Style"/>
      <family val="1"/>
      <charset val="238"/>
    </font>
    <font>
      <sz val="11"/>
      <name val="Bookman Old Style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Bookman Old Style"/>
      <family val="1"/>
      <charset val="238"/>
    </font>
    <font>
      <b/>
      <sz val="9.9"/>
      <color rgb="FF000000"/>
      <name val="Arial ce"/>
      <charset val="238"/>
    </font>
    <font>
      <b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MS Sans Serif"/>
      <charset val="238"/>
    </font>
    <font>
      <b/>
      <sz val="8.8000000000000007"/>
      <color theme="1"/>
      <name val="Arial ce"/>
    </font>
    <font>
      <sz val="9.9"/>
      <color theme="1"/>
      <name val="Arial ce"/>
    </font>
    <font>
      <sz val="9.9"/>
      <color theme="1"/>
      <name val="Arial"/>
      <family val="2"/>
      <charset val="238"/>
    </font>
    <font>
      <b/>
      <sz val="8.8000000000000007"/>
      <color rgb="FFFF0000"/>
      <name val="Arial ce"/>
    </font>
    <font>
      <sz val="8.8000000000000007"/>
      <color theme="1"/>
      <name val="Arial ce"/>
    </font>
    <font>
      <sz val="11"/>
      <color theme="1"/>
      <name val="Bookman Old Style"/>
      <family val="1"/>
      <charset val="238"/>
    </font>
    <font>
      <b/>
      <sz val="11"/>
      <color rgb="FF000000"/>
      <name val="Bookman Old Style"/>
      <family val="1"/>
      <charset val="238"/>
    </font>
    <font>
      <sz val="11"/>
      <color rgb="FF000000"/>
      <name val="Bookman Old Style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 ce"/>
    </font>
    <font>
      <sz val="10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rgb="FFFF0000"/>
      <name val="Arial ce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1"/>
      <color indexed="1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8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14"/>
      <color rgb="FF000000"/>
      <name val=" "/>
      <charset val="238"/>
    </font>
    <font>
      <sz val="20"/>
      <color rgb="FF000000"/>
      <name val="Times New Roman"/>
      <family val="1"/>
      <charset val="238"/>
    </font>
    <font>
      <sz val="2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5"/>
      <color theme="1"/>
      <name val="Times New Roman"/>
      <family val="1"/>
      <charset val="238"/>
    </font>
    <font>
      <b/>
      <u/>
      <sz val="13.2"/>
      <color theme="1"/>
      <name val="Times New Roman"/>
      <family val="1"/>
      <charset val="238"/>
    </font>
    <font>
      <b/>
      <sz val="9.9"/>
      <color theme="1"/>
      <name val="Times New Roman"/>
      <family val="1"/>
      <charset val="238"/>
    </font>
    <font>
      <sz val="9.9"/>
      <color rgb="FF000000"/>
      <name val="Times New Roman"/>
      <family val="1"/>
      <charset val="238"/>
    </font>
    <font>
      <b/>
      <sz val="7.7"/>
      <color rgb="FF000000"/>
      <name val="Times New Roman"/>
      <family val="1"/>
      <charset val="238"/>
    </font>
    <font>
      <i/>
      <sz val="9.9"/>
      <color rgb="FF000000"/>
      <name val="Times New Roman"/>
      <family val="1"/>
      <charset val="238"/>
    </font>
    <font>
      <sz val="7.7"/>
      <color rgb="FF000000"/>
      <name val="Times New Roman"/>
      <family val="1"/>
      <charset val="238"/>
    </font>
    <font>
      <b/>
      <sz val="9.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9"/>
      <color rgb="FF993300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003300"/>
      </patternFill>
    </fill>
    <fill>
      <patternFill patternType="solid">
        <fgColor theme="0"/>
        <bgColor rgb="FFFF808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CB2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ED195"/>
        <bgColor indexed="64"/>
      </patternFill>
    </fill>
    <fill>
      <patternFill patternType="solid">
        <fgColor rgb="FF00FFFF"/>
        <bgColor indexed="64"/>
      </patternFill>
    </fill>
    <fill>
      <patternFill patternType="gray125">
        <fgColor indexed="8"/>
      </patternFill>
    </fill>
    <fill>
      <patternFill patternType="solid">
        <fgColor indexed="65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E6E6FF"/>
      </patternFill>
    </fill>
    <fill>
      <patternFill patternType="solid">
        <fgColor rgb="FFFF0000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0" borderId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61" fillId="0" borderId="0"/>
    <xf numFmtId="0" fontId="56" fillId="0" borderId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6" fillId="0" borderId="0"/>
  </cellStyleXfs>
  <cellXfs count="1583">
    <xf numFmtId="0" fontId="0" fillId="0" borderId="0" xfId="0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" xfId="0" applyBorder="1"/>
    <xf numFmtId="168" fontId="0" fillId="0" borderId="3" xfId="0" applyNumberFormat="1" applyBorder="1"/>
    <xf numFmtId="0" fontId="0" fillId="0" borderId="0" xfId="0" applyAlignment="1">
      <alignment wrapText="1"/>
    </xf>
    <xf numFmtId="168" fontId="0" fillId="0" borderId="0" xfId="0" applyNumberFormat="1"/>
    <xf numFmtId="0" fontId="3" fillId="0" borderId="0" xfId="0" applyFont="1"/>
    <xf numFmtId="0" fontId="0" fillId="0" borderId="12" xfId="0" applyBorder="1"/>
    <xf numFmtId="167" fontId="0" fillId="0" borderId="0" xfId="2" applyNumberFormat="1" applyFont="1"/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170" fontId="0" fillId="0" borderId="3" xfId="2" applyNumberFormat="1" applyFont="1" applyBorder="1"/>
    <xf numFmtId="170" fontId="0" fillId="3" borderId="20" xfId="2" applyNumberFormat="1" applyFont="1" applyFill="1" applyBorder="1"/>
    <xf numFmtId="0" fontId="3" fillId="3" borderId="10" xfId="0" applyFont="1" applyFill="1" applyBorder="1" applyAlignment="1">
      <alignment wrapText="1"/>
    </xf>
    <xf numFmtId="0" fontId="3" fillId="3" borderId="3" xfId="0" applyFont="1" applyFill="1" applyBorder="1"/>
    <xf numFmtId="170" fontId="3" fillId="3" borderId="3" xfId="2" applyNumberFormat="1" applyFont="1" applyFill="1" applyBorder="1"/>
    <xf numFmtId="170" fontId="3" fillId="3" borderId="20" xfId="2" applyNumberFormat="1" applyFont="1" applyFill="1" applyBorder="1" applyAlignment="1">
      <alignment horizontal="right"/>
    </xf>
    <xf numFmtId="0" fontId="3" fillId="11" borderId="10" xfId="0" applyFont="1" applyFill="1" applyBorder="1" applyAlignment="1">
      <alignment wrapText="1"/>
    </xf>
    <xf numFmtId="0" fontId="3" fillId="11" borderId="3" xfId="0" applyFont="1" applyFill="1" applyBorder="1"/>
    <xf numFmtId="170" fontId="3" fillId="11" borderId="3" xfId="2" applyNumberFormat="1" applyFont="1" applyFill="1" applyBorder="1"/>
    <xf numFmtId="0" fontId="0" fillId="0" borderId="11" xfId="0" applyBorder="1" applyAlignment="1">
      <alignment wrapText="1"/>
    </xf>
    <xf numFmtId="170" fontId="0" fillId="0" borderId="12" xfId="2" applyNumberFormat="1" applyFont="1" applyBorder="1"/>
    <xf numFmtId="170" fontId="0" fillId="3" borderId="22" xfId="2" applyNumberFormat="1" applyFont="1" applyFill="1" applyBorder="1"/>
    <xf numFmtId="170" fontId="0" fillId="0" borderId="0" xfId="4" applyNumberFormat="1" applyFont="1"/>
    <xf numFmtId="170" fontId="3" fillId="13" borderId="10" xfId="4" applyNumberFormat="1" applyFont="1" applyFill="1" applyBorder="1" applyAlignment="1">
      <alignment horizontal="center" vertical="center" wrapText="1"/>
    </xf>
    <xf numFmtId="170" fontId="3" fillId="13" borderId="3" xfId="4" applyNumberFormat="1" applyFont="1" applyFill="1" applyBorder="1" applyAlignment="1">
      <alignment horizontal="center" vertical="center" wrapText="1"/>
    </xf>
    <xf numFmtId="170" fontId="3" fillId="3" borderId="10" xfId="4" applyNumberFormat="1" applyFont="1" applyFill="1" applyBorder="1" applyAlignment="1">
      <alignment horizontal="center" vertical="center" wrapText="1"/>
    </xf>
    <xf numFmtId="170" fontId="3" fillId="3" borderId="3" xfId="4" applyNumberFormat="1" applyFont="1" applyFill="1" applyBorder="1" applyAlignment="1">
      <alignment horizontal="center" vertical="center" wrapText="1"/>
    </xf>
    <xf numFmtId="170" fontId="3" fillId="5" borderId="10" xfId="4" applyNumberFormat="1" applyFont="1" applyFill="1" applyBorder="1" applyAlignment="1">
      <alignment horizontal="center" vertical="center" wrapText="1"/>
    </xf>
    <xf numFmtId="170" fontId="3" fillId="5" borderId="3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0" fontId="34" fillId="11" borderId="20" xfId="4" applyNumberFormat="1" applyFont="1" applyFill="1" applyBorder="1" applyAlignment="1">
      <alignment horizontal="center" vertical="center" wrapText="1"/>
    </xf>
    <xf numFmtId="170" fontId="34" fillId="12" borderId="27" xfId="4" applyNumberFormat="1" applyFont="1" applyFill="1" applyBorder="1" applyAlignment="1">
      <alignment horizontal="center" vertical="center" wrapText="1"/>
    </xf>
    <xf numFmtId="170" fontId="34" fillId="5" borderId="0" xfId="4" applyNumberFormat="1" applyFont="1" applyFill="1" applyBorder="1" applyAlignment="1">
      <alignment horizontal="center" vertical="center" wrapText="1"/>
    </xf>
    <xf numFmtId="0" fontId="35" fillId="15" borderId="10" xfId="0" applyFont="1" applyFill="1" applyBorder="1" applyAlignment="1">
      <alignment horizontal="left" vertical="top" wrapText="1"/>
    </xf>
    <xf numFmtId="0" fontId="36" fillId="15" borderId="3" xfId="0" applyFont="1" applyFill="1" applyBorder="1" applyAlignment="1">
      <alignment horizontal="right"/>
    </xf>
    <xf numFmtId="170" fontId="35" fillId="15" borderId="20" xfId="4" applyNumberFormat="1" applyFont="1" applyFill="1" applyBorder="1" applyAlignment="1">
      <alignment horizontal="right" wrapText="1"/>
    </xf>
    <xf numFmtId="170" fontId="35" fillId="15" borderId="27" xfId="4" applyNumberFormat="1" applyFont="1" applyFill="1" applyBorder="1" applyAlignment="1">
      <alignment horizontal="right" wrapText="1"/>
    </xf>
    <xf numFmtId="170" fontId="35" fillId="13" borderId="32" xfId="4" applyNumberFormat="1" applyFont="1" applyFill="1" applyBorder="1" applyAlignment="1">
      <alignment horizontal="right" wrapText="1"/>
    </xf>
    <xf numFmtId="170" fontId="3" fillId="3" borderId="20" xfId="4" applyNumberFormat="1" applyFont="1" applyFill="1" applyBorder="1"/>
    <xf numFmtId="170" fontId="3" fillId="15" borderId="0" xfId="0" applyNumberFormat="1" applyFont="1" applyFill="1"/>
    <xf numFmtId="0" fontId="37" fillId="2" borderId="10" xfId="0" applyFont="1" applyFill="1" applyBorder="1" applyAlignment="1">
      <alignment horizontal="right" vertical="top" wrapText="1"/>
    </xf>
    <xf numFmtId="0" fontId="38" fillId="2" borderId="3" xfId="0" applyFont="1" applyFill="1" applyBorder="1" applyAlignment="1">
      <alignment horizontal="right"/>
    </xf>
    <xf numFmtId="170" fontId="37" fillId="2" borderId="20" xfId="4" applyNumberFormat="1" applyFont="1" applyFill="1" applyBorder="1" applyAlignment="1">
      <alignment horizontal="right" wrapText="1"/>
    </xf>
    <xf numFmtId="170" fontId="37" fillId="2" borderId="27" xfId="4" applyNumberFormat="1" applyFont="1" applyFill="1" applyBorder="1" applyAlignment="1">
      <alignment horizontal="right" wrapText="1"/>
    </xf>
    <xf numFmtId="170" fontId="2" fillId="2" borderId="10" xfId="4" applyNumberFormat="1" applyFont="1" applyFill="1" applyBorder="1"/>
    <xf numFmtId="170" fontId="2" fillId="2" borderId="3" xfId="4" applyNumberFormat="1" applyFont="1" applyFill="1" applyBorder="1"/>
    <xf numFmtId="170" fontId="37" fillId="2" borderId="10" xfId="4" applyNumberFormat="1" applyFont="1" applyFill="1" applyBorder="1" applyAlignment="1">
      <alignment horizontal="right" wrapText="1"/>
    </xf>
    <xf numFmtId="0" fontId="37" fillId="0" borderId="10" xfId="0" applyFont="1" applyBorder="1" applyAlignment="1">
      <alignment horizontal="right" vertical="top" wrapText="1"/>
    </xf>
    <xf numFmtId="0" fontId="38" fillId="0" borderId="3" xfId="0" applyFont="1" applyBorder="1" applyAlignment="1">
      <alignment horizontal="right"/>
    </xf>
    <xf numFmtId="170" fontId="0" fillId="0" borderId="27" xfId="4" applyNumberFormat="1" applyFont="1" applyBorder="1"/>
    <xf numFmtId="170" fontId="0" fillId="0" borderId="10" xfId="4" applyNumberFormat="1" applyFont="1" applyBorder="1"/>
    <xf numFmtId="170" fontId="0" fillId="0" borderId="3" xfId="4" applyNumberFormat="1" applyFont="1" applyBorder="1"/>
    <xf numFmtId="170" fontId="3" fillId="15" borderId="20" xfId="4" applyNumberFormat="1" applyFont="1" applyFill="1" applyBorder="1"/>
    <xf numFmtId="170" fontId="35" fillId="15" borderId="10" xfId="4" applyNumberFormat="1" applyFont="1" applyFill="1" applyBorder="1" applyAlignment="1">
      <alignment horizontal="right" wrapText="1"/>
    </xf>
    <xf numFmtId="170" fontId="3" fillId="15" borderId="3" xfId="4" applyNumberFormat="1" applyFont="1" applyFill="1" applyBorder="1"/>
    <xf numFmtId="170" fontId="35" fillId="15" borderId="3" xfId="4" applyNumberFormat="1" applyFont="1" applyFill="1" applyBorder="1" applyAlignment="1">
      <alignment horizontal="right" wrapText="1"/>
    </xf>
    <xf numFmtId="170" fontId="0" fillId="0" borderId="27" xfId="4" applyNumberFormat="1" applyFont="1" applyFill="1" applyBorder="1"/>
    <xf numFmtId="170" fontId="3" fillId="15" borderId="27" xfId="4" applyNumberFormat="1" applyFont="1" applyFill="1" applyBorder="1"/>
    <xf numFmtId="170" fontId="3" fillId="15" borderId="10" xfId="4" applyNumberFormat="1" applyFont="1" applyFill="1" applyBorder="1"/>
    <xf numFmtId="0" fontId="35" fillId="4" borderId="10" xfId="0" applyFont="1" applyFill="1" applyBorder="1" applyAlignment="1">
      <alignment horizontal="left" vertical="top" wrapText="1"/>
    </xf>
    <xf numFmtId="0" fontId="36" fillId="4" borderId="3" xfId="0" applyFont="1" applyFill="1" applyBorder="1" applyAlignment="1">
      <alignment horizontal="right"/>
    </xf>
    <xf numFmtId="170" fontId="35" fillId="4" borderId="20" xfId="4" applyNumberFormat="1" applyFont="1" applyFill="1" applyBorder="1" applyAlignment="1">
      <alignment horizontal="right" wrapText="1"/>
    </xf>
    <xf numFmtId="170" fontId="35" fillId="4" borderId="27" xfId="4" applyNumberFormat="1" applyFont="1" applyFill="1" applyBorder="1" applyAlignment="1">
      <alignment horizontal="right" wrapText="1"/>
    </xf>
    <xf numFmtId="170" fontId="35" fillId="4" borderId="10" xfId="4" applyNumberFormat="1" applyFont="1" applyFill="1" applyBorder="1" applyAlignment="1">
      <alignment horizontal="right" wrapText="1"/>
    </xf>
    <xf numFmtId="170" fontId="35" fillId="4" borderId="3" xfId="4" applyNumberFormat="1" applyFont="1" applyFill="1" applyBorder="1" applyAlignment="1">
      <alignment horizontal="right" wrapText="1"/>
    </xf>
    <xf numFmtId="0" fontId="37" fillId="0" borderId="3" xfId="0" applyFont="1" applyBorder="1" applyAlignment="1">
      <alignment vertical="top" wrapText="1"/>
    </xf>
    <xf numFmtId="0" fontId="37" fillId="0" borderId="10" xfId="0" applyFont="1" applyBorder="1" applyAlignment="1">
      <alignment horizontal="left" vertical="top" wrapText="1"/>
    </xf>
    <xf numFmtId="0" fontId="0" fillId="0" borderId="27" xfId="0" applyBorder="1"/>
    <xf numFmtId="0" fontId="35" fillId="4" borderId="11" xfId="0" applyFont="1" applyFill="1" applyBorder="1" applyAlignment="1">
      <alignment horizontal="left" vertical="top" wrapText="1"/>
    </xf>
    <xf numFmtId="0" fontId="36" fillId="4" borderId="12" xfId="0" applyFont="1" applyFill="1" applyBorder="1" applyAlignment="1">
      <alignment horizontal="right"/>
    </xf>
    <xf numFmtId="170" fontId="35" fillId="4" borderId="22" xfId="4" applyNumberFormat="1" applyFont="1" applyFill="1" applyBorder="1" applyAlignment="1">
      <alignment horizontal="right" wrapText="1"/>
    </xf>
    <xf numFmtId="170" fontId="35" fillId="4" borderId="33" xfId="4" applyNumberFormat="1" applyFont="1" applyFill="1" applyBorder="1" applyAlignment="1">
      <alignment horizontal="right" wrapText="1"/>
    </xf>
    <xf numFmtId="170" fontId="35" fillId="4" borderId="11" xfId="4" applyNumberFormat="1" applyFont="1" applyFill="1" applyBorder="1" applyAlignment="1">
      <alignment horizontal="right" wrapText="1"/>
    </xf>
    <xf numFmtId="170" fontId="35" fillId="4" borderId="12" xfId="4" applyNumberFormat="1" applyFont="1" applyFill="1" applyBorder="1" applyAlignment="1">
      <alignment horizontal="right" wrapText="1"/>
    </xf>
    <xf numFmtId="170" fontId="3" fillId="3" borderId="22" xfId="4" applyNumberFormat="1" applyFont="1" applyFill="1" applyBorder="1"/>
    <xf numFmtId="0" fontId="44" fillId="0" borderId="3" xfId="0" applyFont="1" applyBorder="1" applyAlignment="1">
      <alignment horizontal="left" vertical="top" wrapText="1"/>
    </xf>
    <xf numFmtId="0" fontId="34" fillId="6" borderId="3" xfId="0" applyFont="1" applyFill="1" applyBorder="1" applyAlignment="1">
      <alignment horizontal="center" vertical="center" wrapText="1"/>
    </xf>
    <xf numFmtId="166" fontId="34" fillId="6" borderId="3" xfId="7" applyNumberFormat="1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left" vertical="top" wrapText="1"/>
    </xf>
    <xf numFmtId="0" fontId="38" fillId="2" borderId="3" xfId="0" applyFont="1" applyFill="1" applyBorder="1"/>
    <xf numFmtId="3" fontId="43" fillId="2" borderId="3" xfId="7" applyNumberFormat="1" applyFont="1" applyFill="1" applyBorder="1" applyAlignment="1">
      <alignment horizontal="right" vertical="center"/>
    </xf>
    <xf numFmtId="3" fontId="43" fillId="2" borderId="15" xfId="7" applyNumberFormat="1" applyFont="1" applyFill="1" applyBorder="1" applyAlignment="1">
      <alignment horizontal="right" vertical="center"/>
    </xf>
    <xf numFmtId="0" fontId="43" fillId="0" borderId="15" xfId="0" applyFont="1" applyBorder="1" applyAlignment="1">
      <alignment wrapText="1"/>
    </xf>
    <xf numFmtId="49" fontId="43" fillId="0" borderId="3" xfId="0" applyNumberFormat="1" applyFont="1" applyBorder="1" applyAlignment="1">
      <alignment horizontal="left" wrapText="1"/>
    </xf>
    <xf numFmtId="3" fontId="43" fillId="0" borderId="1" xfId="0" applyNumberFormat="1" applyFont="1" applyFill="1" applyBorder="1" applyAlignment="1">
      <alignment vertical="center"/>
    </xf>
    <xf numFmtId="49" fontId="43" fillId="0" borderId="3" xfId="0" applyNumberFormat="1" applyFont="1" applyBorder="1" applyAlignment="1">
      <alignment horizontal="left" vertical="center" wrapText="1"/>
    </xf>
    <xf numFmtId="3" fontId="43" fillId="2" borderId="3" xfId="7" applyNumberFormat="1" applyFont="1" applyFill="1" applyBorder="1" applyAlignment="1">
      <alignment horizontal="right" vertical="top"/>
    </xf>
    <xf numFmtId="0" fontId="37" fillId="2" borderId="3" xfId="0" applyFont="1" applyFill="1" applyBorder="1" applyAlignment="1">
      <alignment vertical="top" wrapText="1"/>
    </xf>
    <xf numFmtId="171" fontId="43" fillId="2" borderId="3" xfId="7" applyNumberFormat="1" applyFont="1" applyFill="1" applyBorder="1" applyAlignment="1">
      <alignment horizontal="right" vertical="top"/>
    </xf>
    <xf numFmtId="0" fontId="37" fillId="2" borderId="4" xfId="0" applyFont="1" applyFill="1" applyBorder="1" applyAlignment="1">
      <alignment horizontal="left" vertical="top" wrapText="1"/>
    </xf>
    <xf numFmtId="0" fontId="38" fillId="2" borderId="4" xfId="0" applyFont="1" applyFill="1" applyBorder="1"/>
    <xf numFmtId="0" fontId="35" fillId="6" borderId="3" xfId="0" applyFont="1" applyFill="1" applyBorder="1" applyAlignment="1">
      <alignment horizontal="left" vertical="top" wrapText="1"/>
    </xf>
    <xf numFmtId="0" fontId="36" fillId="6" borderId="3" xfId="0" applyFont="1" applyFill="1" applyBorder="1" applyAlignment="1">
      <alignment horizontal="left"/>
    </xf>
    <xf numFmtId="171" fontId="42" fillId="6" borderId="3" xfId="7" applyNumberFormat="1" applyFont="1" applyFill="1" applyBorder="1" applyAlignment="1">
      <alignment horizontal="right" vertical="top"/>
    </xf>
    <xf numFmtId="0" fontId="35" fillId="6" borderId="17" xfId="0" applyFont="1" applyFill="1" applyBorder="1" applyAlignment="1">
      <alignment horizontal="left" vertical="top" wrapText="1"/>
    </xf>
    <xf numFmtId="0" fontId="36" fillId="6" borderId="17" xfId="0" applyFont="1" applyFill="1" applyBorder="1"/>
    <xf numFmtId="171" fontId="42" fillId="6" borderId="35" xfId="7" applyNumberFormat="1" applyFont="1" applyFill="1" applyBorder="1" applyAlignment="1">
      <alignment horizontal="right" vertical="top"/>
    </xf>
    <xf numFmtId="170" fontId="3" fillId="6" borderId="3" xfId="2" applyNumberFormat="1" applyFont="1" applyFill="1" applyBorder="1"/>
    <xf numFmtId="0" fontId="37" fillId="0" borderId="3" xfId="0" applyFont="1" applyBorder="1" applyAlignment="1">
      <alignment horizontal="left" vertical="top" wrapText="1"/>
    </xf>
    <xf numFmtId="0" fontId="38" fillId="0" borderId="3" xfId="0" applyFont="1" applyBorder="1"/>
    <xf numFmtId="171" fontId="43" fillId="0" borderId="3" xfId="7" applyNumberFormat="1" applyFont="1" applyBorder="1" applyAlignment="1">
      <alignment horizontal="right" vertical="top"/>
    </xf>
    <xf numFmtId="0" fontId="44" fillId="2" borderId="3" xfId="0" applyFont="1" applyFill="1" applyBorder="1" applyAlignment="1">
      <alignment horizontal="left" vertical="top" wrapText="1"/>
    </xf>
    <xf numFmtId="0" fontId="36" fillId="6" borderId="3" xfId="0" applyFont="1" applyFill="1" applyBorder="1"/>
    <xf numFmtId="3" fontId="42" fillId="6" borderId="3" xfId="7" applyNumberFormat="1" applyFont="1" applyFill="1" applyBorder="1" applyAlignment="1">
      <alignment horizontal="right" vertical="top"/>
    </xf>
    <xf numFmtId="171" fontId="42" fillId="6" borderId="1" xfId="7" applyNumberFormat="1" applyFont="1" applyFill="1" applyBorder="1" applyAlignment="1">
      <alignment horizontal="right" vertical="top"/>
    </xf>
    <xf numFmtId="0" fontId="36" fillId="6" borderId="3" xfId="0" applyFont="1" applyFill="1" applyBorder="1" applyAlignment="1">
      <alignment wrapText="1"/>
    </xf>
    <xf numFmtId="3" fontId="46" fillId="6" borderId="3" xfId="7" applyNumberFormat="1" applyFont="1" applyFill="1" applyBorder="1" applyAlignment="1">
      <alignment horizontal="right" vertical="top"/>
    </xf>
    <xf numFmtId="3" fontId="46" fillId="6" borderId="1" xfId="7" applyNumberFormat="1" applyFont="1" applyFill="1" applyBorder="1"/>
    <xf numFmtId="3" fontId="0" fillId="0" borderId="0" xfId="0" applyNumberFormat="1"/>
    <xf numFmtId="0" fontId="33" fillId="6" borderId="3" xfId="0" applyFont="1" applyFill="1" applyBorder="1" applyAlignment="1">
      <alignment horizontal="center" vertical="center" wrapText="1"/>
    </xf>
    <xf numFmtId="0" fontId="43" fillId="0" borderId="3" xfId="0" applyFont="1" applyBorder="1" applyAlignment="1">
      <alignment wrapText="1"/>
    </xf>
    <xf numFmtId="170" fontId="3" fillId="15" borderId="14" xfId="4" applyNumberFormat="1" applyFont="1" applyFill="1" applyBorder="1"/>
    <xf numFmtId="170" fontId="3" fillId="5" borderId="1" xfId="0" applyNumberFormat="1" applyFont="1" applyFill="1" applyBorder="1"/>
    <xf numFmtId="170" fontId="3" fillId="14" borderId="3" xfId="4" applyNumberFormat="1" applyFont="1" applyFill="1" applyBorder="1" applyAlignment="1">
      <alignment horizontal="center" vertical="center" wrapText="1"/>
    </xf>
    <xf numFmtId="170" fontId="3" fillId="14" borderId="3" xfId="4" applyNumberFormat="1" applyFont="1" applyFill="1" applyBorder="1" applyAlignment="1">
      <alignment horizontal="center" vertical="center" wrapText="1"/>
    </xf>
    <xf numFmtId="170" fontId="34" fillId="14" borderId="3" xfId="4" applyNumberFormat="1" applyFont="1" applyFill="1" applyBorder="1" applyAlignment="1">
      <alignment horizontal="center" vertical="center" wrapText="1"/>
    </xf>
    <xf numFmtId="167" fontId="32" fillId="0" borderId="0" xfId="2" applyNumberFormat="1" applyFont="1" applyAlignment="1">
      <alignment horizontal="left" wrapText="1"/>
    </xf>
    <xf numFmtId="167" fontId="3" fillId="0" borderId="0" xfId="2" applyNumberFormat="1" applyFont="1"/>
    <xf numFmtId="167" fontId="35" fillId="15" borderId="27" xfId="2" applyNumberFormat="1" applyFont="1" applyFill="1" applyBorder="1" applyAlignment="1">
      <alignment horizontal="right" wrapText="1"/>
    </xf>
    <xf numFmtId="167" fontId="36" fillId="15" borderId="1" xfId="2" applyNumberFormat="1" applyFont="1" applyFill="1" applyBorder="1" applyAlignment="1">
      <alignment horizontal="right"/>
    </xf>
    <xf numFmtId="167" fontId="38" fillId="0" borderId="1" xfId="2" applyNumberFormat="1" applyFont="1" applyBorder="1" applyAlignment="1">
      <alignment horizontal="right"/>
    </xf>
    <xf numFmtId="167" fontId="36" fillId="15" borderId="2" xfId="2" applyNumberFormat="1" applyFont="1" applyFill="1" applyBorder="1" applyAlignment="1">
      <alignment horizontal="right"/>
    </xf>
    <xf numFmtId="170" fontId="3" fillId="15" borderId="15" xfId="4" applyNumberFormat="1" applyFont="1" applyFill="1" applyBorder="1"/>
    <xf numFmtId="170" fontId="0" fillId="0" borderId="0" xfId="0" applyNumberFormat="1"/>
    <xf numFmtId="167" fontId="37" fillId="0" borderId="6" xfId="2" applyNumberFormat="1" applyFont="1" applyBorder="1" applyAlignment="1">
      <alignment horizontal="center" vertical="top" wrapText="1"/>
    </xf>
    <xf numFmtId="0" fontId="57" fillId="0" borderId="2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32" fillId="2" borderId="3" xfId="0" applyFont="1" applyFill="1" applyBorder="1"/>
    <xf numFmtId="170" fontId="58" fillId="0" borderId="10" xfId="4" applyNumberFormat="1" applyFont="1" applyBorder="1"/>
    <xf numFmtId="170" fontId="58" fillId="0" borderId="3" xfId="4" applyNumberFormat="1" applyFont="1" applyBorder="1"/>
    <xf numFmtId="170" fontId="60" fillId="15" borderId="10" xfId="4" applyNumberFormat="1" applyFont="1" applyFill="1" applyBorder="1"/>
    <xf numFmtId="170" fontId="58" fillId="2" borderId="10" xfId="4" applyNumberFormat="1" applyFont="1" applyFill="1" applyBorder="1"/>
    <xf numFmtId="0" fontId="37" fillId="0" borderId="3" xfId="0" applyFont="1" applyBorder="1" applyAlignment="1">
      <alignment horizontal="left" vertical="top" wrapText="1"/>
    </xf>
    <xf numFmtId="0" fontId="3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71" fontId="43" fillId="0" borderId="1" xfId="7" applyNumberFormat="1" applyFont="1" applyBorder="1" applyAlignment="1">
      <alignment horizontal="right" vertical="top"/>
    </xf>
    <xf numFmtId="0" fontId="62" fillId="11" borderId="7" xfId="0" applyFont="1" applyFill="1" applyBorder="1" applyAlignment="1">
      <alignment horizontal="center" vertical="center"/>
    </xf>
    <xf numFmtId="0" fontId="62" fillId="11" borderId="8" xfId="0" applyFont="1" applyFill="1" applyBorder="1" applyAlignment="1">
      <alignment horizontal="center" vertical="center"/>
    </xf>
    <xf numFmtId="0" fontId="0" fillId="11" borderId="21" xfId="0" applyFill="1" applyBorder="1"/>
    <xf numFmtId="0" fontId="38" fillId="0" borderId="10" xfId="0" applyFont="1" applyBorder="1" applyAlignment="1">
      <alignment wrapText="1"/>
    </xf>
    <xf numFmtId="167" fontId="63" fillId="0" borderId="3" xfId="4" applyNumberFormat="1" applyFont="1" applyBorder="1" applyAlignment="1">
      <alignment horizontal="right"/>
    </xf>
    <xf numFmtId="167" fontId="0" fillId="0" borderId="20" xfId="4" applyNumberFormat="1" applyFont="1" applyBorder="1"/>
    <xf numFmtId="167" fontId="64" fillId="0" borderId="3" xfId="4" applyNumberFormat="1" applyFont="1" applyBorder="1" applyAlignment="1">
      <alignment wrapText="1"/>
    </xf>
    <xf numFmtId="167" fontId="0" fillId="0" borderId="3" xfId="4" applyNumberFormat="1" applyFont="1" applyBorder="1"/>
    <xf numFmtId="0" fontId="65" fillId="11" borderId="10" xfId="0" applyFont="1" applyFill="1" applyBorder="1"/>
    <xf numFmtId="167" fontId="65" fillId="11" borderId="3" xfId="4" applyNumberFormat="1" applyFont="1" applyFill="1" applyBorder="1" applyAlignment="1">
      <alignment horizontal="right"/>
    </xf>
    <xf numFmtId="0" fontId="66" fillId="0" borderId="10" xfId="0" applyFont="1" applyBorder="1"/>
    <xf numFmtId="167" fontId="66" fillId="0" borderId="3" xfId="0" applyNumberFormat="1" applyFont="1" applyBorder="1" applyAlignment="1">
      <alignment horizontal="right"/>
    </xf>
    <xf numFmtId="0" fontId="62" fillId="0" borderId="10" xfId="0" applyFont="1" applyBorder="1"/>
    <xf numFmtId="0" fontId="65" fillId="17" borderId="11" xfId="0" applyFont="1" applyFill="1" applyBorder="1"/>
    <xf numFmtId="167" fontId="65" fillId="17" borderId="12" xfId="0" applyNumberFormat="1" applyFont="1" applyFill="1" applyBorder="1" applyAlignment="1">
      <alignment horizontal="right"/>
    </xf>
    <xf numFmtId="0" fontId="69" fillId="0" borderId="55" xfId="0" applyFont="1" applyBorder="1" applyAlignment="1">
      <alignment horizontal="center"/>
    </xf>
    <xf numFmtId="0" fontId="69" fillId="0" borderId="3" xfId="0" applyFont="1" applyBorder="1" applyAlignment="1">
      <alignment horizontal="center"/>
    </xf>
    <xf numFmtId="166" fontId="69" fillId="0" borderId="48" xfId="11" applyNumberFormat="1" applyFont="1" applyBorder="1" applyAlignment="1">
      <alignment horizontal="right"/>
    </xf>
    <xf numFmtId="170" fontId="69" fillId="0" borderId="48" xfId="2" applyNumberFormat="1" applyFont="1" applyBorder="1" applyAlignment="1">
      <alignment horizontal="right" vertical="center"/>
    </xf>
    <xf numFmtId="0" fontId="68" fillId="0" borderId="58" xfId="0" applyFont="1" applyBorder="1" applyAlignment="1">
      <alignment horizontal="center"/>
    </xf>
    <xf numFmtId="0" fontId="68" fillId="0" borderId="59" xfId="0" applyFont="1" applyBorder="1" applyAlignment="1">
      <alignment horizontal="center"/>
    </xf>
    <xf numFmtId="170" fontId="68" fillId="0" borderId="59" xfId="2" applyNumberFormat="1" applyFont="1" applyBorder="1" applyAlignment="1">
      <alignment horizontal="center"/>
    </xf>
    <xf numFmtId="0" fontId="71" fillId="0" borderId="0" xfId="0" applyFont="1"/>
    <xf numFmtId="0" fontId="72" fillId="0" borderId="0" xfId="0" applyFont="1" applyAlignment="1">
      <alignment horizontal="right"/>
    </xf>
    <xf numFmtId="0" fontId="74" fillId="0" borderId="12" xfId="0" applyFont="1" applyBorder="1" applyAlignment="1">
      <alignment horizontal="center" vertical="center" wrapText="1"/>
    </xf>
    <xf numFmtId="0" fontId="74" fillId="0" borderId="41" xfId="0" applyFont="1" applyBorder="1" applyAlignment="1">
      <alignment horizontal="center" vertical="center" wrapText="1"/>
    </xf>
    <xf numFmtId="0" fontId="75" fillId="0" borderId="7" xfId="0" applyFont="1" applyBorder="1" applyAlignment="1">
      <alignment horizontal="center" wrapText="1"/>
    </xf>
    <xf numFmtId="0" fontId="75" fillId="0" borderId="8" xfId="0" applyFont="1" applyBorder="1" applyAlignment="1">
      <alignment horizontal="center" wrapText="1"/>
    </xf>
    <xf numFmtId="0" fontId="75" fillId="0" borderId="9" xfId="0" applyFont="1" applyBorder="1" applyAlignment="1">
      <alignment horizontal="center" wrapText="1"/>
    </xf>
    <xf numFmtId="0" fontId="75" fillId="0" borderId="64" xfId="0" applyFont="1" applyBorder="1" applyAlignment="1">
      <alignment horizontal="center" wrapText="1"/>
    </xf>
    <xf numFmtId="0" fontId="75" fillId="0" borderId="10" xfId="0" applyFont="1" applyBorder="1" applyAlignment="1">
      <alignment horizontal="left" vertical="center" wrapText="1"/>
    </xf>
    <xf numFmtId="49" fontId="75" fillId="0" borderId="3" xfId="0" applyNumberFormat="1" applyFont="1" applyBorder="1" applyAlignment="1">
      <alignment horizontal="center" wrapText="1"/>
    </xf>
    <xf numFmtId="166" fontId="74" fillId="0" borderId="3" xfId="7" applyNumberFormat="1" applyFont="1" applyBorder="1" applyAlignment="1" applyProtection="1">
      <alignment horizontal="right" vertical="center" wrapText="1"/>
      <protection locked="0"/>
    </xf>
    <xf numFmtId="166" fontId="74" fillId="0" borderId="27" xfId="7" applyNumberFormat="1" applyFont="1" applyBorder="1" applyAlignment="1">
      <alignment horizontal="right" vertical="center" wrapText="1"/>
    </xf>
    <xf numFmtId="166" fontId="74" fillId="0" borderId="1" xfId="7" applyNumberFormat="1" applyFont="1" applyBorder="1" applyAlignment="1" applyProtection="1">
      <alignment horizontal="right" vertical="center" wrapText="1"/>
      <protection locked="0"/>
    </xf>
    <xf numFmtId="0" fontId="75" fillId="0" borderId="40" xfId="0" applyFont="1" applyBorder="1" applyAlignment="1">
      <alignment horizontal="left" vertical="center" wrapText="1"/>
    </xf>
    <xf numFmtId="49" fontId="75" fillId="0" borderId="4" xfId="0" applyNumberFormat="1" applyFont="1" applyBorder="1" applyAlignment="1">
      <alignment horizontal="center" wrapText="1"/>
    </xf>
    <xf numFmtId="166" fontId="74" fillId="0" borderId="4" xfId="7" applyNumberFormat="1" applyFont="1" applyBorder="1" applyAlignment="1" applyProtection="1">
      <alignment horizontal="right" vertical="center" wrapText="1"/>
      <protection locked="0"/>
    </xf>
    <xf numFmtId="166" fontId="74" fillId="0" borderId="13" xfId="7" applyNumberFormat="1" applyFont="1" applyBorder="1" applyAlignment="1" applyProtection="1">
      <alignment horizontal="right" vertical="center" wrapText="1"/>
      <protection locked="0"/>
    </xf>
    <xf numFmtId="166" fontId="74" fillId="0" borderId="38" xfId="7" applyNumberFormat="1" applyFont="1" applyBorder="1" applyAlignment="1">
      <alignment horizontal="right" vertical="center" wrapText="1"/>
    </xf>
    <xf numFmtId="0" fontId="74" fillId="0" borderId="69" xfId="0" applyFont="1" applyBorder="1" applyAlignment="1">
      <alignment horizontal="left" vertical="center" wrapText="1"/>
    </xf>
    <xf numFmtId="49" fontId="74" fillId="0" borderId="70" xfId="0" applyNumberFormat="1" applyFont="1" applyBorder="1" applyAlignment="1">
      <alignment horizontal="center" wrapText="1"/>
    </xf>
    <xf numFmtId="166" fontId="74" fillId="0" borderId="70" xfId="7" applyNumberFormat="1" applyFont="1" applyBorder="1" applyAlignment="1">
      <alignment horizontal="right" vertical="center" wrapText="1"/>
    </xf>
    <xf numFmtId="166" fontId="74" fillId="0" borderId="71" xfId="7" applyNumberFormat="1" applyFont="1" applyBorder="1" applyAlignment="1">
      <alignment horizontal="right" vertical="center" wrapText="1"/>
    </xf>
    <xf numFmtId="166" fontId="74" fillId="0" borderId="72" xfId="7" applyNumberFormat="1" applyFont="1" applyBorder="1" applyAlignment="1">
      <alignment horizontal="right" vertical="center" wrapText="1"/>
    </xf>
    <xf numFmtId="0" fontId="74" fillId="0" borderId="66" xfId="0" applyFont="1" applyBorder="1" applyAlignment="1">
      <alignment horizontal="left" vertical="center" wrapText="1"/>
    </xf>
    <xf numFmtId="49" fontId="74" fillId="0" borderId="67" xfId="0" applyNumberFormat="1" applyFont="1" applyBorder="1" applyAlignment="1">
      <alignment horizontal="center" wrapText="1"/>
    </xf>
    <xf numFmtId="166" fontId="74" fillId="0" borderId="67" xfId="7" applyNumberFormat="1" applyFont="1" applyBorder="1" applyAlignment="1">
      <alignment horizontal="right" vertical="center" wrapText="1"/>
    </xf>
    <xf numFmtId="166" fontId="74" fillId="0" borderId="73" xfId="7" applyNumberFormat="1" applyFont="1" applyBorder="1" applyAlignment="1">
      <alignment horizontal="right" vertical="center" wrapText="1"/>
    </xf>
    <xf numFmtId="0" fontId="74" fillId="0" borderId="70" xfId="0" applyFont="1" applyBorder="1" applyAlignment="1">
      <alignment horizontal="center" wrapText="1"/>
    </xf>
    <xf numFmtId="0" fontId="75" fillId="0" borderId="74" xfId="0" applyFont="1" applyBorder="1" applyAlignment="1">
      <alignment horizontal="left" vertical="center" wrapText="1"/>
    </xf>
    <xf numFmtId="0" fontId="75" fillId="0" borderId="17" xfId="0" applyFont="1" applyBorder="1" applyAlignment="1">
      <alignment horizontal="center" wrapText="1"/>
    </xf>
    <xf numFmtId="166" fontId="74" fillId="0" borderId="17" xfId="7" applyNumberFormat="1" applyFont="1" applyBorder="1" applyAlignment="1" applyProtection="1">
      <alignment horizontal="right" vertical="center" wrapText="1"/>
      <protection locked="0"/>
    </xf>
    <xf numFmtId="166" fontId="74" fillId="0" borderId="35" xfId="7" applyNumberFormat="1" applyFont="1" applyBorder="1" applyAlignment="1" applyProtection="1">
      <alignment horizontal="right" vertical="center" wrapText="1"/>
      <protection locked="0"/>
    </xf>
    <xf numFmtId="166" fontId="74" fillId="0" borderId="31" xfId="7" applyNumberFormat="1" applyFont="1" applyBorder="1" applyAlignment="1">
      <alignment horizontal="right" vertical="center" wrapText="1"/>
    </xf>
    <xf numFmtId="0" fontId="75" fillId="0" borderId="3" xfId="0" applyFont="1" applyBorder="1" applyAlignment="1">
      <alignment horizontal="center" wrapText="1"/>
    </xf>
    <xf numFmtId="0" fontId="75" fillId="0" borderId="4" xfId="0" applyFont="1" applyBorder="1" applyAlignment="1">
      <alignment horizontal="center" wrapText="1"/>
    </xf>
    <xf numFmtId="0" fontId="74" fillId="0" borderId="67" xfId="0" applyFont="1" applyBorder="1" applyAlignment="1">
      <alignment horizontal="center" wrapText="1"/>
    </xf>
    <xf numFmtId="166" fontId="74" fillId="0" borderId="68" xfId="7" applyNumberFormat="1" applyFont="1" applyBorder="1" applyAlignment="1">
      <alignment horizontal="right" vertical="center" wrapText="1"/>
    </xf>
    <xf numFmtId="0" fontId="0" fillId="0" borderId="15" xfId="0" applyBorder="1"/>
    <xf numFmtId="0" fontId="76" fillId="0" borderId="3" xfId="12" applyFont="1" applyBorder="1" applyAlignment="1">
      <alignment horizontal="center"/>
    </xf>
    <xf numFmtId="0" fontId="76" fillId="0" borderId="3" xfId="12" applyFont="1" applyBorder="1" applyAlignment="1">
      <alignment horizontal="center" wrapText="1"/>
    </xf>
    <xf numFmtId="0" fontId="76" fillId="18" borderId="3" xfId="12" applyFont="1" applyFill="1" applyBorder="1" applyAlignment="1">
      <alignment horizontal="center"/>
    </xf>
    <xf numFmtId="0" fontId="76" fillId="0" borderId="3" xfId="12" applyFont="1" applyBorder="1" applyAlignment="1">
      <alignment wrapText="1"/>
    </xf>
    <xf numFmtId="0" fontId="76" fillId="19" borderId="3" xfId="12" applyFont="1" applyFill="1" applyBorder="1"/>
    <xf numFmtId="0" fontId="76" fillId="0" borderId="3" xfId="12" applyFont="1" applyBorder="1"/>
    <xf numFmtId="0" fontId="77" fillId="0" borderId="3" xfId="12" applyFont="1" applyBorder="1" applyAlignment="1">
      <alignment wrapText="1"/>
    </xf>
    <xf numFmtId="0" fontId="77" fillId="0" borderId="3" xfId="12" applyFont="1" applyBorder="1"/>
    <xf numFmtId="0" fontId="77" fillId="0" borderId="3" xfId="12" applyFont="1" applyBorder="1" applyAlignment="1">
      <alignment horizontal="right"/>
    </xf>
    <xf numFmtId="0" fontId="37" fillId="20" borderId="3" xfId="0" applyFont="1" applyFill="1" applyBorder="1" applyAlignment="1">
      <alignment horizontal="left" vertical="top" wrapText="1"/>
    </xf>
    <xf numFmtId="0" fontId="38" fillId="20" borderId="3" xfId="0" applyFont="1" applyFill="1" applyBorder="1"/>
    <xf numFmtId="3" fontId="43" fillId="20" borderId="3" xfId="7" applyNumberFormat="1" applyFont="1" applyFill="1" applyBorder="1" applyAlignment="1">
      <alignment horizontal="right" vertical="top"/>
    </xf>
    <xf numFmtId="0" fontId="0" fillId="0" borderId="0" xfId="0" applyAlignment="1"/>
    <xf numFmtId="0" fontId="70" fillId="0" borderId="0" xfId="0" applyFont="1"/>
    <xf numFmtId="0" fontId="78" fillId="0" borderId="0" xfId="0" applyFont="1"/>
    <xf numFmtId="9" fontId="0" fillId="0" borderId="3" xfId="13" applyFont="1" applyBorder="1"/>
    <xf numFmtId="10" fontId="0" fillId="0" borderId="3" xfId="13" applyNumberFormat="1" applyFont="1" applyBorder="1"/>
    <xf numFmtId="0" fontId="37" fillId="2" borderId="3" xfId="0" applyFont="1" applyFill="1" applyBorder="1" applyAlignment="1">
      <alignment horizontal="right" vertical="top" wrapText="1"/>
    </xf>
    <xf numFmtId="0" fontId="35" fillId="2" borderId="3" xfId="0" applyFont="1" applyFill="1" applyBorder="1" applyAlignment="1">
      <alignment horizontal="left" vertical="top" wrapText="1"/>
    </xf>
    <xf numFmtId="10" fontId="43" fillId="2" borderId="3" xfId="13" applyNumberFormat="1" applyFont="1" applyFill="1" applyBorder="1" applyAlignment="1">
      <alignment horizontal="right" vertical="center"/>
    </xf>
    <xf numFmtId="10" fontId="43" fillId="2" borderId="3" xfId="13" applyNumberFormat="1" applyFont="1" applyFill="1" applyBorder="1" applyAlignment="1">
      <alignment horizontal="right" vertical="top"/>
    </xf>
    <xf numFmtId="10" fontId="42" fillId="6" borderId="3" xfId="13" applyNumberFormat="1" applyFont="1" applyFill="1" applyBorder="1" applyAlignment="1">
      <alignment horizontal="right" vertical="top"/>
    </xf>
    <xf numFmtId="0" fontId="37" fillId="0" borderId="3" xfId="0" applyFont="1" applyBorder="1" applyAlignment="1">
      <alignment horizontal="left" vertical="top" wrapText="1"/>
    </xf>
    <xf numFmtId="0" fontId="44" fillId="0" borderId="10" xfId="0" applyFont="1" applyBorder="1" applyAlignment="1">
      <alignment horizontal="left" vertical="top" wrapText="1"/>
    </xf>
    <xf numFmtId="170" fontId="0" fillId="0" borderId="3" xfId="0" applyNumberFormat="1" applyBorder="1"/>
    <xf numFmtId="0" fontId="0" fillId="0" borderId="17" xfId="0" applyBorder="1"/>
    <xf numFmtId="3" fontId="0" fillId="0" borderId="17" xfId="0" applyNumberFormat="1" applyBorder="1"/>
    <xf numFmtId="3" fontId="43" fillId="2" borderId="15" xfId="7" applyNumberFormat="1" applyFont="1" applyFill="1" applyBorder="1" applyAlignment="1">
      <alignment horizontal="right" vertical="top"/>
    </xf>
    <xf numFmtId="171" fontId="43" fillId="2" borderId="15" xfId="7" applyNumberFormat="1" applyFont="1" applyFill="1" applyBorder="1" applyAlignment="1">
      <alignment horizontal="right" vertical="top"/>
    </xf>
    <xf numFmtId="171" fontId="42" fillId="6" borderId="17" xfId="7" applyNumberFormat="1" applyFont="1" applyFill="1" applyBorder="1" applyAlignment="1">
      <alignment horizontal="right" vertical="top"/>
    </xf>
    <xf numFmtId="0" fontId="3" fillId="0" borderId="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10" fontId="46" fillId="6" borderId="3" xfId="13" applyNumberFormat="1" applyFont="1" applyFill="1" applyBorder="1"/>
    <xf numFmtId="168" fontId="34" fillId="6" borderId="3" xfId="7" applyNumberFormat="1" applyFont="1" applyFill="1" applyBorder="1" applyAlignment="1">
      <alignment horizontal="center" vertical="center" wrapText="1"/>
    </xf>
    <xf numFmtId="168" fontId="43" fillId="0" borderId="3" xfId="0" applyNumberFormat="1" applyFont="1" applyFill="1" applyBorder="1" applyAlignment="1">
      <alignment vertical="center"/>
    </xf>
    <xf numFmtId="168" fontId="0" fillId="0" borderId="3" xfId="2" applyNumberFormat="1" applyFont="1" applyBorder="1"/>
    <xf numFmtId="168" fontId="42" fillId="6" borderId="3" xfId="7" applyNumberFormat="1" applyFont="1" applyFill="1" applyBorder="1" applyAlignment="1">
      <alignment horizontal="right" vertical="top"/>
    </xf>
    <xf numFmtId="168" fontId="43" fillId="0" borderId="3" xfId="7" applyNumberFormat="1" applyFont="1" applyBorder="1" applyAlignment="1">
      <alignment horizontal="right" vertical="top"/>
    </xf>
    <xf numFmtId="168" fontId="46" fillId="6" borderId="3" xfId="7" applyNumberFormat="1" applyFont="1" applyFill="1" applyBorder="1"/>
    <xf numFmtId="168" fontId="0" fillId="0" borderId="17" xfId="0" applyNumberFormat="1" applyBorder="1"/>
    <xf numFmtId="168" fontId="43" fillId="2" borderId="3" xfId="7" applyNumberFormat="1" applyFont="1" applyFill="1" applyBorder="1" applyAlignment="1">
      <alignment horizontal="right" vertical="center"/>
    </xf>
    <xf numFmtId="168" fontId="43" fillId="2" borderId="3" xfId="7" applyNumberFormat="1" applyFont="1" applyFill="1" applyBorder="1" applyAlignment="1">
      <alignment horizontal="right" vertical="top"/>
    </xf>
    <xf numFmtId="168" fontId="46" fillId="6" borderId="3" xfId="7" applyNumberFormat="1" applyFont="1" applyFill="1" applyBorder="1" applyAlignment="1">
      <alignment horizontal="right" vertical="top"/>
    </xf>
    <xf numFmtId="0" fontId="38" fillId="0" borderId="3" xfId="0" applyFont="1" applyBorder="1" applyAlignment="1">
      <alignment vertical="center" wrapText="1"/>
    </xf>
    <xf numFmtId="0" fontId="38" fillId="0" borderId="3" xfId="0" applyFont="1" applyBorder="1" applyAlignment="1">
      <alignment horizontal="left" vertical="center" wrapText="1"/>
    </xf>
    <xf numFmtId="10" fontId="46" fillId="6" borderId="3" xfId="13" applyNumberFormat="1" applyFont="1" applyFill="1" applyBorder="1" applyAlignment="1">
      <alignment horizontal="right" vertical="top"/>
    </xf>
    <xf numFmtId="10" fontId="43" fillId="0" borderId="1" xfId="13" applyNumberFormat="1" applyFont="1" applyFill="1" applyBorder="1" applyAlignment="1">
      <alignment vertical="center"/>
    </xf>
    <xf numFmtId="10" fontId="42" fillId="6" borderId="35" xfId="13" applyNumberFormat="1" applyFont="1" applyFill="1" applyBorder="1" applyAlignment="1">
      <alignment horizontal="right" vertical="top"/>
    </xf>
    <xf numFmtId="10" fontId="43" fillId="2" borderId="15" xfId="13" applyNumberFormat="1" applyFont="1" applyFill="1" applyBorder="1" applyAlignment="1">
      <alignment horizontal="right" vertical="center"/>
    </xf>
    <xf numFmtId="10" fontId="43" fillId="2" borderId="15" xfId="13" applyNumberFormat="1" applyFont="1" applyFill="1" applyBorder="1" applyAlignment="1">
      <alignment horizontal="right" vertical="top"/>
    </xf>
    <xf numFmtId="10" fontId="42" fillId="6" borderId="17" xfId="13" applyNumberFormat="1" applyFont="1" applyFill="1" applyBorder="1" applyAlignment="1">
      <alignment horizontal="right" vertical="top"/>
    </xf>
    <xf numFmtId="0" fontId="36" fillId="0" borderId="3" xfId="0" applyFont="1" applyBorder="1" applyAlignment="1">
      <alignment vertical="center" wrapText="1"/>
    </xf>
    <xf numFmtId="0" fontId="0" fillId="0" borderId="0" xfId="0" applyFill="1"/>
    <xf numFmtId="0" fontId="38" fillId="0" borderId="3" xfId="0" applyFont="1" applyBorder="1" applyAlignment="1">
      <alignment horizontal="left"/>
    </xf>
    <xf numFmtId="0" fontId="38" fillId="0" borderId="12" xfId="0" applyFont="1" applyBorder="1" applyAlignment="1">
      <alignment vertical="center" wrapText="1"/>
    </xf>
    <xf numFmtId="0" fontId="35" fillId="2" borderId="3" xfId="0" applyFont="1" applyFill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right" vertical="top" wrapText="1"/>
    </xf>
    <xf numFmtId="166" fontId="35" fillId="2" borderId="18" xfId="1" applyNumberFormat="1" applyFont="1" applyFill="1" applyBorder="1" applyAlignment="1">
      <alignment horizontal="right" wrapText="1"/>
    </xf>
    <xf numFmtId="0" fontId="50" fillId="0" borderId="3" xfId="0" applyFont="1" applyFill="1" applyBorder="1"/>
    <xf numFmtId="0" fontId="50" fillId="0" borderId="3" xfId="0" applyFont="1" applyFill="1" applyBorder="1" applyAlignment="1">
      <alignment wrapText="1"/>
    </xf>
    <xf numFmtId="167" fontId="50" fillId="0" borderId="3" xfId="2" applyNumberFormat="1" applyFont="1" applyFill="1" applyBorder="1"/>
    <xf numFmtId="168" fontId="50" fillId="0" borderId="3" xfId="2" applyNumberFormat="1" applyFont="1" applyFill="1" applyBorder="1"/>
    <xf numFmtId="168" fontId="50" fillId="0" borderId="3" xfId="0" applyNumberFormat="1" applyFont="1" applyFill="1" applyBorder="1"/>
    <xf numFmtId="168" fontId="86" fillId="0" borderId="3" xfId="2" applyNumberFormat="1" applyFont="1" applyFill="1" applyBorder="1"/>
    <xf numFmtId="168" fontId="87" fillId="0" borderId="3" xfId="0" applyNumberFormat="1" applyFont="1" applyFill="1" applyBorder="1"/>
    <xf numFmtId="168" fontId="86" fillId="0" borderId="3" xfId="0" applyNumberFormat="1" applyFont="1" applyFill="1" applyBorder="1"/>
    <xf numFmtId="167" fontId="85" fillId="0" borderId="3" xfId="2" applyNumberFormat="1" applyFont="1" applyFill="1" applyBorder="1"/>
    <xf numFmtId="0" fontId="48" fillId="0" borderId="3" xfId="0" applyFont="1" applyFill="1" applyBorder="1"/>
    <xf numFmtId="0" fontId="48" fillId="0" borderId="3" xfId="0" applyFont="1" applyFill="1" applyBorder="1" applyAlignment="1">
      <alignment wrapText="1"/>
    </xf>
    <xf numFmtId="167" fontId="48" fillId="0" borderId="3" xfId="2" applyNumberFormat="1" applyFont="1" applyFill="1" applyBorder="1"/>
    <xf numFmtId="168" fontId="48" fillId="0" borderId="3" xfId="2" applyNumberFormat="1" applyFont="1" applyFill="1" applyBorder="1"/>
    <xf numFmtId="168" fontId="88" fillId="0" borderId="3" xfId="2" applyNumberFormat="1" applyFont="1" applyFill="1" applyBorder="1"/>
    <xf numFmtId="168" fontId="49" fillId="0" borderId="3" xfId="0" applyNumberFormat="1" applyFont="1" applyFill="1" applyBorder="1"/>
    <xf numFmtId="0" fontId="3" fillId="0" borderId="0" xfId="0" applyFont="1" applyFill="1"/>
    <xf numFmtId="0" fontId="52" fillId="0" borderId="3" xfId="0" applyFont="1" applyFill="1" applyBorder="1"/>
    <xf numFmtId="0" fontId="52" fillId="0" borderId="3" xfId="0" applyFont="1" applyFill="1" applyBorder="1" applyAlignment="1">
      <alignment wrapText="1"/>
    </xf>
    <xf numFmtId="167" fontId="86" fillId="0" borderId="3" xfId="2" applyNumberFormat="1" applyFont="1" applyFill="1" applyBorder="1"/>
    <xf numFmtId="168" fontId="52" fillId="0" borderId="3" xfId="2" applyNumberFormat="1" applyFont="1" applyFill="1" applyBorder="1"/>
    <xf numFmtId="167" fontId="88" fillId="0" borderId="3" xfId="2" applyNumberFormat="1" applyFont="1" applyFill="1" applyBorder="1"/>
    <xf numFmtId="168" fontId="0" fillId="0" borderId="3" xfId="0" applyNumberFormat="1" applyFill="1" applyBorder="1"/>
    <xf numFmtId="167" fontId="4" fillId="0" borderId="3" xfId="2" applyNumberFormat="1" applyFont="1" applyFill="1" applyBorder="1" applyAlignment="1">
      <alignment wrapText="1"/>
    </xf>
    <xf numFmtId="167" fontId="89" fillId="0" borderId="3" xfId="2" applyNumberFormat="1" applyFont="1" applyFill="1" applyBorder="1" applyAlignment="1">
      <alignment wrapText="1"/>
    </xf>
    <xf numFmtId="167" fontId="52" fillId="0" borderId="3" xfId="2" applyNumberFormat="1" applyFont="1" applyFill="1" applyBorder="1"/>
    <xf numFmtId="0" fontId="52" fillId="0" borderId="3" xfId="0" applyFont="1" applyFill="1" applyBorder="1" applyAlignment="1">
      <alignment horizontal="right" wrapText="1"/>
    </xf>
    <xf numFmtId="167" fontId="50" fillId="0" borderId="3" xfId="2" applyNumberFormat="1" applyFont="1" applyFill="1" applyBorder="1" applyAlignment="1"/>
    <xf numFmtId="0" fontId="49" fillId="0" borderId="3" xfId="0" applyFont="1" applyFill="1" applyBorder="1"/>
    <xf numFmtId="0" fontId="49" fillId="0" borderId="3" xfId="0" applyFont="1" applyFill="1" applyBorder="1" applyAlignment="1">
      <alignment wrapText="1"/>
    </xf>
    <xf numFmtId="167" fontId="49" fillId="0" borderId="3" xfId="2" applyNumberFormat="1" applyFont="1" applyFill="1" applyBorder="1"/>
    <xf numFmtId="167" fontId="90" fillId="0" borderId="3" xfId="2" applyNumberFormat="1" applyFont="1" applyFill="1" applyBorder="1"/>
    <xf numFmtId="0" fontId="50" fillId="0" borderId="3" xfId="0" applyFont="1" applyFill="1" applyBorder="1" applyAlignment="1">
      <alignment horizontal="right" wrapText="1"/>
    </xf>
    <xf numFmtId="167" fontId="50" fillId="0" borderId="3" xfId="2" applyNumberFormat="1" applyFont="1" applyFill="1" applyBorder="1" applyAlignment="1">
      <alignment wrapText="1"/>
    </xf>
    <xf numFmtId="168" fontId="52" fillId="0" borderId="0" xfId="2" applyNumberFormat="1" applyFont="1" applyFill="1" applyBorder="1"/>
    <xf numFmtId="0" fontId="0" fillId="0" borderId="0" xfId="0" applyFont="1" applyFill="1"/>
    <xf numFmtId="0" fontId="55" fillId="0" borderId="3" xfId="0" applyFont="1" applyFill="1" applyBorder="1"/>
    <xf numFmtId="167" fontId="55" fillId="0" borderId="3" xfId="2" applyNumberFormat="1" applyFont="1" applyFill="1" applyBorder="1"/>
    <xf numFmtId="167" fontId="91" fillId="0" borderId="3" xfId="2" applyNumberFormat="1" applyFont="1" applyFill="1" applyBorder="1"/>
    <xf numFmtId="168" fontId="55" fillId="0" borderId="3" xfId="0" applyNumberFormat="1" applyFont="1" applyFill="1" applyBorder="1"/>
    <xf numFmtId="168" fontId="50" fillId="0" borderId="0" xfId="2" applyNumberFormat="1" applyFont="1" applyFill="1" applyBorder="1"/>
    <xf numFmtId="168" fontId="50" fillId="0" borderId="0" xfId="0" applyNumberFormat="1" applyFont="1" applyFill="1" applyBorder="1"/>
    <xf numFmtId="0" fontId="50" fillId="0" borderId="3" xfId="0" applyFont="1" applyFill="1" applyBorder="1" applyAlignment="1"/>
    <xf numFmtId="167" fontId="54" fillId="0" borderId="3" xfId="2" applyNumberFormat="1" applyFont="1" applyFill="1" applyBorder="1"/>
    <xf numFmtId="168" fontId="54" fillId="0" borderId="3" xfId="2" applyNumberFormat="1" applyFont="1" applyFill="1" applyBorder="1"/>
    <xf numFmtId="168" fontId="90" fillId="0" borderId="3" xfId="2" applyNumberFormat="1" applyFont="1" applyFill="1" applyBorder="1"/>
    <xf numFmtId="168" fontId="54" fillId="0" borderId="1" xfId="2" applyNumberFormat="1" applyFont="1" applyFill="1" applyBorder="1"/>
    <xf numFmtId="0" fontId="51" fillId="0" borderId="3" xfId="0" applyFont="1" applyFill="1" applyBorder="1"/>
    <xf numFmtId="0" fontId="51" fillId="0" borderId="3" xfId="0" applyFont="1" applyFill="1" applyBorder="1" applyAlignment="1">
      <alignment wrapText="1"/>
    </xf>
    <xf numFmtId="167" fontId="51" fillId="0" borderId="3" xfId="2" applyNumberFormat="1" applyFont="1" applyFill="1" applyBorder="1"/>
    <xf numFmtId="168" fontId="51" fillId="0" borderId="3" xfId="2" applyNumberFormat="1" applyFont="1" applyFill="1" applyBorder="1"/>
    <xf numFmtId="168" fontId="55" fillId="0" borderId="3" xfId="2" applyNumberFormat="1" applyFont="1" applyFill="1" applyBorder="1"/>
    <xf numFmtId="168" fontId="91" fillId="0" borderId="3" xfId="2" applyNumberFormat="1" applyFont="1" applyFill="1" applyBorder="1"/>
    <xf numFmtId="168" fontId="55" fillId="0" borderId="1" xfId="2" applyNumberFormat="1" applyFont="1" applyFill="1" applyBorder="1"/>
    <xf numFmtId="0" fontId="0" fillId="0" borderId="3" xfId="0" applyFill="1" applyBorder="1"/>
    <xf numFmtId="168" fontId="90" fillId="0" borderId="3" xfId="0" applyNumberFormat="1" applyFont="1" applyFill="1" applyBorder="1"/>
    <xf numFmtId="0" fontId="79" fillId="0" borderId="0" xfId="0" applyFont="1" applyFill="1"/>
    <xf numFmtId="167" fontId="89" fillId="0" borderId="0" xfId="2" applyNumberFormat="1" applyFont="1" applyFill="1" applyAlignment="1">
      <alignment horizontal="center" vertical="center" wrapText="1"/>
    </xf>
    <xf numFmtId="168" fontId="0" fillId="0" borderId="0" xfId="0" applyNumberFormat="1" applyFill="1"/>
    <xf numFmtId="167" fontId="0" fillId="0" borderId="0" xfId="2" applyNumberFormat="1" applyFont="1" applyFill="1"/>
    <xf numFmtId="0" fontId="38" fillId="0" borderId="10" xfId="0" applyFont="1" applyFill="1" applyBorder="1" applyAlignment="1">
      <alignment wrapText="1"/>
    </xf>
    <xf numFmtId="0" fontId="37" fillId="0" borderId="10" xfId="0" applyFont="1" applyFill="1" applyBorder="1" applyAlignment="1">
      <alignment horizontal="right" vertical="top" wrapText="1"/>
    </xf>
    <xf numFmtId="0" fontId="37" fillId="0" borderId="10" xfId="0" applyFont="1" applyFill="1" applyBorder="1" applyAlignment="1">
      <alignment horizontal="left" vertical="top" wrapText="1"/>
    </xf>
    <xf numFmtId="3" fontId="0" fillId="0" borderId="0" xfId="0" applyNumberFormat="1" applyFill="1" applyAlignment="1">
      <alignment horizontal="right"/>
    </xf>
    <xf numFmtId="3" fontId="37" fillId="0" borderId="3" xfId="4" applyNumberFormat="1" applyFont="1" applyFill="1" applyBorder="1" applyAlignment="1">
      <alignment horizontal="right" vertical="center" wrapText="1"/>
    </xf>
    <xf numFmtId="0" fontId="38" fillId="0" borderId="40" xfId="0" applyFont="1" applyFill="1" applyBorder="1" applyAlignment="1">
      <alignment wrapText="1"/>
    </xf>
    <xf numFmtId="3" fontId="37" fillId="0" borderId="3" xfId="4" applyNumberFormat="1" applyFont="1" applyFill="1" applyBorder="1" applyAlignment="1">
      <alignment horizontal="right" wrapText="1"/>
    </xf>
    <xf numFmtId="0" fontId="37" fillId="0" borderId="11" xfId="0" applyFont="1" applyFill="1" applyBorder="1" applyAlignment="1">
      <alignment horizontal="left" vertical="top" wrapText="1"/>
    </xf>
    <xf numFmtId="10" fontId="3" fillId="0" borderId="3" xfId="13" applyNumberFormat="1" applyFont="1" applyFill="1" applyBorder="1"/>
    <xf numFmtId="0" fontId="82" fillId="0" borderId="0" xfId="0" applyFont="1"/>
    <xf numFmtId="0" fontId="82" fillId="0" borderId="0" xfId="0" applyFont="1" applyAlignment="1">
      <alignment horizontal="right"/>
    </xf>
    <xf numFmtId="166" fontId="82" fillId="0" borderId="0" xfId="1" applyNumberFormat="1" applyFont="1" applyFill="1"/>
    <xf numFmtId="0" fontId="36" fillId="0" borderId="69" xfId="0" applyFont="1" applyBorder="1" applyAlignment="1">
      <alignment horizontal="center" vertical="center"/>
    </xf>
    <xf numFmtId="0" fontId="36" fillId="0" borderId="70" xfId="0" applyFont="1" applyBorder="1" applyAlignment="1">
      <alignment horizontal="center" vertical="center"/>
    </xf>
    <xf numFmtId="0" fontId="36" fillId="0" borderId="71" xfId="0" applyFont="1" applyBorder="1" applyAlignment="1">
      <alignment horizontal="center" vertical="center"/>
    </xf>
    <xf numFmtId="166" fontId="36" fillId="0" borderId="70" xfId="1" applyNumberFormat="1" applyFont="1" applyFill="1" applyBorder="1" applyAlignment="1">
      <alignment horizontal="center" vertical="center" wrapText="1"/>
    </xf>
    <xf numFmtId="0" fontId="36" fillId="0" borderId="70" xfId="0" applyFont="1" applyBorder="1" applyAlignment="1">
      <alignment horizontal="center" wrapText="1"/>
    </xf>
    <xf numFmtId="0" fontId="36" fillId="0" borderId="83" xfId="0" applyFont="1" applyBorder="1" applyAlignment="1">
      <alignment horizontal="center" vertical="center" wrapText="1"/>
    </xf>
    <xf numFmtId="0" fontId="54" fillId="0" borderId="0" xfId="0" applyFont="1"/>
    <xf numFmtId="0" fontId="35" fillId="0" borderId="74" xfId="8" applyFont="1" applyBorder="1" applyAlignment="1">
      <alignment horizontal="center" vertical="center" wrapText="1"/>
    </xf>
    <xf numFmtId="0" fontId="36" fillId="0" borderId="17" xfId="0" applyFont="1" applyBorder="1" applyAlignment="1">
      <alignment vertical="center" wrapText="1"/>
    </xf>
    <xf numFmtId="0" fontId="38" fillId="0" borderId="35" xfId="0" applyFont="1" applyBorder="1" applyAlignment="1">
      <alignment horizontal="right" vertical="center" wrapText="1"/>
    </xf>
    <xf numFmtId="173" fontId="38" fillId="0" borderId="17" xfId="1" applyNumberFormat="1" applyFont="1" applyFill="1" applyBorder="1"/>
    <xf numFmtId="0" fontId="38" fillId="0" borderId="17" xfId="0" applyFont="1" applyBorder="1" applyAlignment="1">
      <alignment horizontal="center"/>
    </xf>
    <xf numFmtId="14" fontId="38" fillId="0" borderId="82" xfId="0" applyNumberFormat="1" applyFont="1" applyBorder="1" applyAlignment="1">
      <alignment horizontal="center"/>
    </xf>
    <xf numFmtId="0" fontId="35" fillId="0" borderId="10" xfId="8" applyFont="1" applyBorder="1" applyAlignment="1">
      <alignment horizontal="center" vertical="center" wrapText="1"/>
    </xf>
    <xf numFmtId="0" fontId="38" fillId="0" borderId="1" xfId="0" applyFont="1" applyBorder="1" applyAlignment="1">
      <alignment horizontal="right" vertical="center" wrapText="1"/>
    </xf>
    <xf numFmtId="173" fontId="38" fillId="0" borderId="3" xfId="1" applyNumberFormat="1" applyFont="1" applyFill="1" applyBorder="1"/>
    <xf numFmtId="0" fontId="38" fillId="0" borderId="3" xfId="0" applyFont="1" applyBorder="1" applyAlignment="1">
      <alignment horizontal="center"/>
    </xf>
    <xf numFmtId="14" fontId="38" fillId="0" borderId="20" xfId="0" applyNumberFormat="1" applyFont="1" applyBorder="1" applyAlignment="1">
      <alignment horizontal="center"/>
    </xf>
    <xf numFmtId="173" fontId="38" fillId="0" borderId="3" xfId="1" applyNumberFormat="1" applyFont="1" applyFill="1" applyBorder="1" applyAlignment="1">
      <alignment horizontal="center"/>
    </xf>
    <xf numFmtId="0" fontId="38" fillId="0" borderId="20" xfId="0" applyFont="1" applyBorder="1" applyAlignment="1">
      <alignment horizontal="center"/>
    </xf>
    <xf numFmtId="173" fontId="38" fillId="0" borderId="3" xfId="1" applyNumberFormat="1" applyFont="1" applyFill="1" applyBorder="1" applyAlignment="1">
      <alignment horizontal="right" vertical="center"/>
    </xf>
    <xf numFmtId="173" fontId="38" fillId="0" borderId="3" xfId="1" applyNumberFormat="1" applyFont="1" applyFill="1" applyBorder="1" applyAlignment="1">
      <alignment horizontal="center" vertical="center"/>
    </xf>
    <xf numFmtId="0" fontId="38" fillId="0" borderId="1" xfId="0" applyFont="1" applyBorder="1" applyAlignment="1">
      <alignment horizontal="right"/>
    </xf>
    <xf numFmtId="0" fontId="35" fillId="0" borderId="11" xfId="8" applyFont="1" applyBorder="1" applyAlignment="1">
      <alignment horizontal="center" vertical="center" wrapText="1"/>
    </xf>
    <xf numFmtId="0" fontId="38" fillId="0" borderId="12" xfId="0" applyFont="1" applyBorder="1" applyAlignment="1">
      <alignment horizontal="left" vertical="center" wrapText="1"/>
    </xf>
    <xf numFmtId="0" fontId="38" fillId="0" borderId="41" xfId="0" applyFont="1" applyBorder="1" applyAlignment="1">
      <alignment horizontal="right" vertical="center" wrapText="1"/>
    </xf>
    <xf numFmtId="173" fontId="38" fillId="0" borderId="12" xfId="1" applyNumberFormat="1" applyFont="1" applyFill="1" applyBorder="1"/>
    <xf numFmtId="0" fontId="38" fillId="0" borderId="12" xfId="0" applyFont="1" applyBorder="1" applyAlignment="1">
      <alignment horizontal="center"/>
    </xf>
    <xf numFmtId="14" fontId="38" fillId="0" borderId="22" xfId="0" applyNumberFormat="1" applyFont="1" applyBorder="1" applyAlignment="1">
      <alignment horizontal="center"/>
    </xf>
    <xf numFmtId="0" fontId="0" fillId="0" borderId="0" xfId="0" applyFill="1" applyAlignment="1">
      <alignment horizontal="center" vertical="center"/>
    </xf>
    <xf numFmtId="168" fontId="43" fillId="0" borderId="3" xfId="7" applyNumberFormat="1" applyFont="1" applyFill="1" applyBorder="1" applyAlignment="1">
      <alignment horizontal="right" vertical="top"/>
    </xf>
    <xf numFmtId="0" fontId="0" fillId="0" borderId="0" xfId="0" applyFill="1" applyAlignment="1">
      <alignment horizontal="left"/>
    </xf>
    <xf numFmtId="0" fontId="0" fillId="0" borderId="8" xfId="0" applyFill="1" applyBorder="1" applyAlignment="1">
      <alignment horizontal="left" vertical="center"/>
    </xf>
    <xf numFmtId="168" fontId="0" fillId="0" borderId="8" xfId="0" applyNumberFormat="1" applyFill="1" applyBorder="1"/>
    <xf numFmtId="168" fontId="0" fillId="0" borderId="9" xfId="0" applyNumberFormat="1" applyFill="1" applyBorder="1"/>
    <xf numFmtId="168" fontId="3" fillId="0" borderId="21" xfId="0" applyNumberFormat="1" applyFont="1" applyFill="1" applyBorder="1"/>
    <xf numFmtId="0" fontId="0" fillId="0" borderId="3" xfId="0" applyFill="1" applyBorder="1" applyAlignment="1">
      <alignment horizontal="left" vertical="center"/>
    </xf>
    <xf numFmtId="168" fontId="0" fillId="0" borderId="1" xfId="0" applyNumberFormat="1" applyFill="1" applyBorder="1"/>
    <xf numFmtId="168" fontId="3" fillId="0" borderId="20" xfId="0" applyNumberFormat="1" applyFont="1" applyFill="1" applyBorder="1"/>
    <xf numFmtId="0" fontId="0" fillId="0" borderId="12" xfId="0" applyFill="1" applyBorder="1" applyAlignment="1">
      <alignment horizontal="left" vertical="center"/>
    </xf>
    <xf numFmtId="168" fontId="0" fillId="0" borderId="12" xfId="0" applyNumberFormat="1" applyFill="1" applyBorder="1"/>
    <xf numFmtId="168" fontId="0" fillId="0" borderId="41" xfId="0" applyNumberFormat="1" applyFill="1" applyBorder="1"/>
    <xf numFmtId="168" fontId="3" fillId="0" borderId="22" xfId="0" applyNumberFormat="1" applyFont="1" applyFill="1" applyBorder="1"/>
    <xf numFmtId="0" fontId="0" fillId="0" borderId="4" xfId="0" applyFill="1" applyBorder="1" applyAlignment="1">
      <alignment horizontal="left" vertical="center"/>
    </xf>
    <xf numFmtId="168" fontId="0" fillId="0" borderId="4" xfId="0" applyNumberFormat="1" applyFill="1" applyBorder="1"/>
    <xf numFmtId="168" fontId="0" fillId="0" borderId="13" xfId="0" applyNumberFormat="1" applyFill="1" applyBorder="1"/>
    <xf numFmtId="168" fontId="3" fillId="0" borderId="81" xfId="0" applyNumberFormat="1" applyFont="1" applyFill="1" applyBorder="1"/>
    <xf numFmtId="0" fontId="3" fillId="0" borderId="17" xfId="0" applyFont="1" applyFill="1" applyBorder="1" applyAlignment="1">
      <alignment horizontal="left" vertical="center"/>
    </xf>
    <xf numFmtId="168" fontId="3" fillId="0" borderId="17" xfId="0" applyNumberFormat="1" applyFont="1" applyFill="1" applyBorder="1"/>
    <xf numFmtId="10" fontId="3" fillId="0" borderId="1" xfId="13" applyNumberFormat="1" applyFont="1" applyFill="1" applyBorder="1"/>
    <xf numFmtId="10" fontId="3" fillId="0" borderId="20" xfId="13" applyNumberFormat="1" applyFont="1" applyFill="1" applyBorder="1"/>
    <xf numFmtId="168" fontId="3" fillId="0" borderId="12" xfId="0" applyNumberFormat="1" applyFont="1" applyFill="1" applyBorder="1"/>
    <xf numFmtId="168" fontId="3" fillId="0" borderId="41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167" fontId="4" fillId="0" borderId="0" xfId="2" applyNumberFormat="1" applyFont="1" applyFill="1" applyAlignment="1">
      <alignment horizontal="center" vertical="center" wrapText="1"/>
    </xf>
    <xf numFmtId="10" fontId="4" fillId="0" borderId="0" xfId="13" applyNumberFormat="1" applyFont="1" applyFill="1" applyAlignment="1">
      <alignment horizontal="center" vertical="center" wrapText="1"/>
    </xf>
    <xf numFmtId="0" fontId="0" fillId="0" borderId="10" xfId="0" applyFill="1" applyBorder="1"/>
    <xf numFmtId="0" fontId="5" fillId="0" borderId="10" xfId="0" applyFont="1" applyFill="1" applyBorder="1"/>
    <xf numFmtId="0" fontId="5" fillId="0" borderId="0" xfId="0" applyFont="1" applyFill="1"/>
    <xf numFmtId="0" fontId="8" fillId="0" borderId="10" xfId="0" applyFont="1" applyFill="1" applyBorder="1"/>
    <xf numFmtId="0" fontId="7" fillId="0" borderId="0" xfId="0" applyFont="1" applyFill="1"/>
    <xf numFmtId="0" fontId="9" fillId="0" borderId="10" xfId="0" applyFont="1" applyFill="1" applyBorder="1"/>
    <xf numFmtId="0" fontId="9" fillId="0" borderId="0" xfId="0" applyFont="1" applyFill="1"/>
    <xf numFmtId="0" fontId="0" fillId="0" borderId="40" xfId="0" applyFill="1" applyBorder="1"/>
    <xf numFmtId="0" fontId="10" fillId="0" borderId="69" xfId="0" applyFont="1" applyFill="1" applyBorder="1"/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left"/>
    </xf>
    <xf numFmtId="0" fontId="12" fillId="0" borderId="0" xfId="0" applyFont="1" applyFill="1"/>
    <xf numFmtId="0" fontId="3" fillId="0" borderId="10" xfId="0" applyFont="1" applyFill="1" applyBorder="1"/>
    <xf numFmtId="0" fontId="3" fillId="0" borderId="0" xfId="0" applyFont="1" applyFill="1" applyAlignment="1">
      <alignment horizontal="center" vertical="center"/>
    </xf>
    <xf numFmtId="0" fontId="92" fillId="0" borderId="0" xfId="0" applyFont="1" applyFill="1"/>
    <xf numFmtId="0" fontId="84" fillId="0" borderId="0" xfId="0" applyFont="1" applyFill="1"/>
    <xf numFmtId="0" fontId="94" fillId="0" borderId="0" xfId="0" applyFont="1" applyFill="1"/>
    <xf numFmtId="0" fontId="4" fillId="0" borderId="0" xfId="0" applyFont="1" applyFill="1" applyAlignment="1">
      <alignment horizontal="center" vertical="center" wrapText="1"/>
    </xf>
    <xf numFmtId="3" fontId="3" fillId="0" borderId="0" xfId="0" applyNumberFormat="1" applyFont="1" applyFill="1"/>
    <xf numFmtId="3" fontId="5" fillId="0" borderId="0" xfId="0" applyNumberFormat="1" applyFont="1" applyFill="1"/>
    <xf numFmtId="0" fontId="50" fillId="0" borderId="0" xfId="0" applyFont="1" applyFill="1" applyAlignment="1">
      <alignment horizontal="left"/>
    </xf>
    <xf numFmtId="10" fontId="50" fillId="0" borderId="0" xfId="13" applyNumberFormat="1" applyFont="1" applyFill="1" applyAlignment="1">
      <alignment horizontal="left"/>
    </xf>
    <xf numFmtId="167" fontId="50" fillId="0" borderId="0" xfId="2" applyNumberFormat="1" applyFont="1" applyFill="1"/>
    <xf numFmtId="167" fontId="50" fillId="0" borderId="0" xfId="2" applyNumberFormat="1" applyFont="1" applyFill="1" applyAlignment="1">
      <alignment wrapText="1"/>
    </xf>
    <xf numFmtId="0" fontId="50" fillId="0" borderId="0" xfId="0" applyFont="1" applyFill="1"/>
    <xf numFmtId="168" fontId="50" fillId="0" borderId="0" xfId="0" applyNumberFormat="1" applyFont="1" applyFill="1"/>
    <xf numFmtId="10" fontId="86" fillId="0" borderId="0" xfId="13" applyNumberFormat="1" applyFont="1" applyFill="1"/>
    <xf numFmtId="0" fontId="48" fillId="0" borderId="3" xfId="0" applyFont="1" applyFill="1" applyBorder="1" applyAlignment="1">
      <alignment horizontal="center" vertical="center" wrapText="1"/>
    </xf>
    <xf numFmtId="0" fontId="50" fillId="0" borderId="17" xfId="0" applyFont="1" applyFill="1" applyBorder="1" applyAlignment="1">
      <alignment wrapText="1"/>
    </xf>
    <xf numFmtId="0" fontId="50" fillId="0" borderId="17" xfId="0" applyFont="1" applyFill="1" applyBorder="1"/>
    <xf numFmtId="166" fontId="50" fillId="0" borderId="17" xfId="1" applyNumberFormat="1" applyFont="1" applyFill="1" applyBorder="1"/>
    <xf numFmtId="167" fontId="86" fillId="0" borderId="17" xfId="2" applyNumberFormat="1" applyFont="1" applyFill="1" applyBorder="1"/>
    <xf numFmtId="167" fontId="50" fillId="0" borderId="17" xfId="2" applyNumberFormat="1" applyFont="1" applyFill="1" applyBorder="1"/>
    <xf numFmtId="10" fontId="50" fillId="0" borderId="17" xfId="13" applyNumberFormat="1" applyFont="1" applyFill="1" applyBorder="1"/>
    <xf numFmtId="167" fontId="50" fillId="0" borderId="17" xfId="2" applyNumberFormat="1" applyFont="1" applyFill="1" applyBorder="1" applyAlignment="1">
      <alignment wrapText="1"/>
    </xf>
    <xf numFmtId="168" fontId="50" fillId="0" borderId="17" xfId="0" applyNumberFormat="1" applyFont="1" applyFill="1" applyBorder="1"/>
    <xf numFmtId="167" fontId="50" fillId="0" borderId="17" xfId="0" applyNumberFormat="1" applyFont="1" applyFill="1" applyBorder="1"/>
    <xf numFmtId="3" fontId="37" fillId="0" borderId="0" xfId="0" applyNumberFormat="1" applyFont="1" applyFill="1" applyBorder="1" applyAlignment="1">
      <alignment horizontal="right" vertical="top" wrapText="1"/>
    </xf>
    <xf numFmtId="4" fontId="86" fillId="0" borderId="82" xfId="13" applyNumberFormat="1" applyFont="1" applyFill="1" applyBorder="1"/>
    <xf numFmtId="166" fontId="50" fillId="0" borderId="3" xfId="1" applyNumberFormat="1" applyFont="1" applyFill="1" applyBorder="1"/>
    <xf numFmtId="10" fontId="50" fillId="0" borderId="3" xfId="13" applyNumberFormat="1" applyFont="1" applyFill="1" applyBorder="1"/>
    <xf numFmtId="167" fontId="50" fillId="0" borderId="3" xfId="0" applyNumberFormat="1" applyFont="1" applyFill="1" applyBorder="1"/>
    <xf numFmtId="3" fontId="86" fillId="0" borderId="20" xfId="13" applyNumberFormat="1" applyFont="1" applyFill="1" applyBorder="1"/>
    <xf numFmtId="4" fontId="86" fillId="0" borderId="20" xfId="13" applyNumberFormat="1" applyFont="1" applyFill="1" applyBorder="1"/>
    <xf numFmtId="166" fontId="48" fillId="0" borderId="3" xfId="1" applyNumberFormat="1" applyFont="1" applyFill="1" applyBorder="1"/>
    <xf numFmtId="167" fontId="51" fillId="0" borderId="3" xfId="0" applyNumberFormat="1" applyFont="1" applyFill="1" applyBorder="1"/>
    <xf numFmtId="3" fontId="35" fillId="0" borderId="0" xfId="0" applyNumberFormat="1" applyFont="1" applyFill="1" applyBorder="1" applyAlignment="1">
      <alignment horizontal="right" vertical="top" wrapText="1"/>
    </xf>
    <xf numFmtId="4" fontId="88" fillId="0" borderId="20" xfId="13" applyNumberFormat="1" applyFont="1" applyFill="1" applyBorder="1"/>
    <xf numFmtId="166" fontId="52" fillId="0" borderId="3" xfId="1" applyNumberFormat="1" applyFont="1" applyFill="1" applyBorder="1"/>
    <xf numFmtId="10" fontId="51" fillId="0" borderId="3" xfId="13" applyNumberFormat="1" applyFont="1" applyFill="1" applyBorder="1"/>
    <xf numFmtId="168" fontId="51" fillId="0" borderId="3" xfId="0" applyNumberFormat="1" applyFont="1" applyFill="1" applyBorder="1"/>
    <xf numFmtId="166" fontId="4" fillId="0" borderId="3" xfId="1" applyNumberFormat="1" applyFont="1" applyFill="1" applyBorder="1" applyAlignment="1">
      <alignment horizontal="center" wrapText="1"/>
    </xf>
    <xf numFmtId="168" fontId="88" fillId="0" borderId="3" xfId="0" applyNumberFormat="1" applyFont="1" applyFill="1" applyBorder="1"/>
    <xf numFmtId="168" fontId="48" fillId="0" borderId="3" xfId="0" applyNumberFormat="1" applyFont="1" applyFill="1" applyBorder="1"/>
    <xf numFmtId="166" fontId="49" fillId="0" borderId="3" xfId="1" applyNumberFormat="1" applyFont="1" applyFill="1" applyBorder="1"/>
    <xf numFmtId="10" fontId="48" fillId="0" borderId="3" xfId="13" applyNumberFormat="1" applyFont="1" applyFill="1" applyBorder="1"/>
    <xf numFmtId="0" fontId="4" fillId="0" borderId="3" xfId="0" applyFont="1" applyFill="1" applyBorder="1"/>
    <xf numFmtId="166" fontId="4" fillId="0" borderId="3" xfId="1" applyNumberFormat="1" applyFont="1" applyFill="1" applyBorder="1"/>
    <xf numFmtId="168" fontId="89" fillId="0" borderId="3" xfId="0" applyNumberFormat="1" applyFont="1" applyFill="1" applyBorder="1"/>
    <xf numFmtId="0" fontId="96" fillId="0" borderId="3" xfId="0" applyFont="1" applyFill="1" applyBorder="1" applyAlignment="1">
      <alignment wrapText="1"/>
    </xf>
    <xf numFmtId="0" fontId="96" fillId="0" borderId="3" xfId="0" applyFont="1" applyFill="1" applyBorder="1"/>
    <xf numFmtId="166" fontId="96" fillId="0" borderId="3" xfId="1" applyNumberFormat="1" applyFont="1" applyFill="1" applyBorder="1"/>
    <xf numFmtId="168" fontId="97" fillId="0" borderId="3" xfId="0" applyNumberFormat="1" applyFont="1" applyFill="1" applyBorder="1"/>
    <xf numFmtId="0" fontId="50" fillId="0" borderId="4" xfId="0" applyFont="1" applyFill="1" applyBorder="1" applyAlignment="1">
      <alignment wrapText="1"/>
    </xf>
    <xf numFmtId="0" fontId="50" fillId="0" borderId="4" xfId="0" applyFont="1" applyFill="1" applyBorder="1"/>
    <xf numFmtId="166" fontId="50" fillId="0" borderId="4" xfId="1" applyNumberFormat="1" applyFont="1" applyFill="1" applyBorder="1"/>
    <xf numFmtId="168" fontId="86" fillId="0" borderId="4" xfId="0" applyNumberFormat="1" applyFont="1" applyFill="1" applyBorder="1"/>
    <xf numFmtId="168" fontId="50" fillId="0" borderId="4" xfId="0" applyNumberFormat="1" applyFont="1" applyFill="1" applyBorder="1"/>
    <xf numFmtId="4" fontId="86" fillId="0" borderId="81" xfId="13" applyNumberFormat="1" applyFont="1" applyFill="1" applyBorder="1"/>
    <xf numFmtId="0" fontId="98" fillId="0" borderId="70" xfId="0" applyFont="1" applyFill="1" applyBorder="1" applyAlignment="1">
      <alignment wrapText="1"/>
    </xf>
    <xf numFmtId="0" fontId="98" fillId="0" borderId="70" xfId="0" applyFont="1" applyFill="1" applyBorder="1"/>
    <xf numFmtId="166" fontId="98" fillId="0" borderId="70" xfId="1" applyNumberFormat="1" applyFont="1" applyFill="1" applyBorder="1"/>
    <xf numFmtId="168" fontId="98" fillId="0" borderId="70" xfId="1" applyNumberFormat="1" applyFont="1" applyFill="1" applyBorder="1"/>
    <xf numFmtId="4" fontId="41" fillId="0" borderId="83" xfId="13" applyNumberFormat="1" applyFont="1" applyFill="1" applyBorder="1"/>
    <xf numFmtId="3" fontId="86" fillId="0" borderId="82" xfId="13" applyNumberFormat="1" applyFont="1" applyFill="1" applyBorder="1"/>
    <xf numFmtId="0" fontId="99" fillId="0" borderId="3" xfId="0" applyFont="1" applyFill="1" applyBorder="1" applyAlignment="1">
      <alignment horizontal="left"/>
    </xf>
    <xf numFmtId="0" fontId="55" fillId="0" borderId="3" xfId="0" applyFont="1" applyFill="1" applyBorder="1" applyAlignment="1">
      <alignment horizontal="left"/>
    </xf>
    <xf numFmtId="166" fontId="55" fillId="0" borderId="3" xfId="1" applyNumberFormat="1" applyFont="1" applyFill="1" applyBorder="1" applyAlignment="1">
      <alignment horizontal="right"/>
    </xf>
    <xf numFmtId="10" fontId="55" fillId="0" borderId="3" xfId="13" applyNumberFormat="1" applyFont="1" applyFill="1" applyBorder="1" applyAlignment="1">
      <alignment horizontal="left"/>
    </xf>
    <xf numFmtId="0" fontId="87" fillId="0" borderId="3" xfId="0" applyFont="1" applyFill="1" applyBorder="1" applyAlignment="1">
      <alignment horizontal="left"/>
    </xf>
    <xf numFmtId="166" fontId="87" fillId="0" borderId="3" xfId="1" applyNumberFormat="1" applyFont="1" applyFill="1" applyBorder="1" applyAlignment="1">
      <alignment horizontal="right"/>
    </xf>
    <xf numFmtId="167" fontId="82" fillId="0" borderId="3" xfId="2" applyNumberFormat="1" applyFont="1" applyFill="1" applyBorder="1"/>
    <xf numFmtId="167" fontId="82" fillId="0" borderId="3" xfId="2" applyNumberFormat="1" applyFont="1" applyFill="1" applyBorder="1" applyAlignment="1">
      <alignment wrapText="1"/>
    </xf>
    <xf numFmtId="0" fontId="82" fillId="0" borderId="3" xfId="0" applyFont="1" applyFill="1" applyBorder="1"/>
    <xf numFmtId="168" fontId="82" fillId="0" borderId="3" xfId="0" applyNumberFormat="1" applyFont="1" applyFill="1" applyBorder="1"/>
    <xf numFmtId="166" fontId="82" fillId="0" borderId="3" xfId="1" applyNumberFormat="1" applyFont="1" applyFill="1" applyBorder="1"/>
    <xf numFmtId="166" fontId="48" fillId="0" borderId="3" xfId="1" applyNumberFormat="1" applyFont="1" applyFill="1" applyBorder="1" applyAlignment="1">
      <alignment horizontal="right"/>
    </xf>
    <xf numFmtId="166" fontId="52" fillId="0" borderId="3" xfId="1" applyNumberFormat="1" applyFont="1" applyFill="1" applyBorder="1" applyAlignment="1">
      <alignment horizontal="right"/>
    </xf>
    <xf numFmtId="0" fontId="52" fillId="0" borderId="4" xfId="0" applyFont="1" applyFill="1" applyBorder="1" applyAlignment="1">
      <alignment wrapText="1"/>
    </xf>
    <xf numFmtId="0" fontId="52" fillId="0" borderId="4" xfId="0" applyFont="1" applyFill="1" applyBorder="1"/>
    <xf numFmtId="167" fontId="86" fillId="0" borderId="4" xfId="2" applyNumberFormat="1" applyFont="1" applyFill="1" applyBorder="1"/>
    <xf numFmtId="167" fontId="50" fillId="0" borderId="4" xfId="2" applyNumberFormat="1" applyFont="1" applyFill="1" applyBorder="1"/>
    <xf numFmtId="10" fontId="55" fillId="0" borderId="4" xfId="13" applyNumberFormat="1" applyFont="1" applyFill="1" applyBorder="1" applyAlignment="1">
      <alignment horizontal="left"/>
    </xf>
    <xf numFmtId="167" fontId="52" fillId="0" borderId="4" xfId="2" applyNumberFormat="1" applyFont="1" applyFill="1" applyBorder="1"/>
    <xf numFmtId="167" fontId="82" fillId="0" borderId="4" xfId="2" applyNumberFormat="1" applyFont="1" applyFill="1" applyBorder="1"/>
    <xf numFmtId="167" fontId="50" fillId="0" borderId="4" xfId="0" applyNumberFormat="1" applyFont="1" applyFill="1" applyBorder="1"/>
    <xf numFmtId="166" fontId="55" fillId="0" borderId="8" xfId="1" applyNumberFormat="1" applyFont="1" applyFill="1" applyBorder="1" applyAlignment="1">
      <alignment horizontal="right"/>
    </xf>
    <xf numFmtId="167" fontId="91" fillId="0" borderId="8" xfId="2" applyNumberFormat="1" applyFont="1" applyFill="1" applyBorder="1"/>
    <xf numFmtId="4" fontId="41" fillId="0" borderId="21" xfId="13" applyNumberFormat="1" applyFont="1" applyFill="1" applyBorder="1"/>
    <xf numFmtId="166" fontId="99" fillId="0" borderId="12" xfId="1" applyNumberFormat="1" applyFont="1" applyFill="1" applyBorder="1" applyAlignment="1">
      <alignment horizontal="right"/>
    </xf>
    <xf numFmtId="167" fontId="100" fillId="0" borderId="12" xfId="2" applyNumberFormat="1" applyFont="1" applyFill="1" applyBorder="1"/>
    <xf numFmtId="167" fontId="101" fillId="0" borderId="12" xfId="2" applyNumberFormat="1" applyFont="1" applyFill="1" applyBorder="1"/>
    <xf numFmtId="4" fontId="86" fillId="0" borderId="22" xfId="13" applyNumberFormat="1" applyFont="1" applyFill="1" applyBorder="1"/>
    <xf numFmtId="0" fontId="50" fillId="0" borderId="0" xfId="0" applyFont="1" applyFill="1" applyAlignment="1">
      <alignment wrapText="1"/>
    </xf>
    <xf numFmtId="167" fontId="86" fillId="0" borderId="0" xfId="2" applyNumberFormat="1" applyFont="1" applyFill="1"/>
    <xf numFmtId="10" fontId="50" fillId="0" borderId="0" xfId="13" applyNumberFormat="1" applyFont="1" applyFill="1"/>
    <xf numFmtId="3" fontId="88" fillId="0" borderId="20" xfId="13" applyNumberFormat="1" applyFont="1" applyFill="1" applyBorder="1"/>
    <xf numFmtId="173" fontId="88" fillId="0" borderId="3" xfId="13" applyNumberFormat="1" applyFont="1" applyFill="1" applyBorder="1"/>
    <xf numFmtId="173" fontId="86" fillId="0" borderId="17" xfId="13" applyNumberFormat="1" applyFont="1" applyFill="1" applyBorder="1"/>
    <xf numFmtId="173" fontId="88" fillId="0" borderId="17" xfId="13" applyNumberFormat="1" applyFont="1" applyFill="1" applyBorder="1"/>
    <xf numFmtId="173" fontId="90" fillId="0" borderId="3" xfId="0" applyNumberFormat="1" applyFont="1" applyFill="1" applyBorder="1"/>
    <xf numFmtId="167" fontId="50" fillId="0" borderId="0" xfId="0" applyNumberFormat="1" applyFont="1" applyFill="1" applyBorder="1"/>
    <xf numFmtId="173" fontId="86" fillId="0" borderId="0" xfId="13" applyNumberFormat="1" applyFont="1" applyFill="1"/>
    <xf numFmtId="173" fontId="50" fillId="0" borderId="0" xfId="0" applyNumberFormat="1" applyFont="1" applyFill="1"/>
    <xf numFmtId="173" fontId="86" fillId="0" borderId="3" xfId="13" applyNumberFormat="1" applyFont="1" applyFill="1" applyBorder="1"/>
    <xf numFmtId="173" fontId="88" fillId="0" borderId="3" xfId="2" applyNumberFormat="1" applyFont="1" applyFill="1" applyBorder="1"/>
    <xf numFmtId="173" fontId="88" fillId="0" borderId="3" xfId="0" applyNumberFormat="1" applyFont="1" applyFill="1" applyBorder="1"/>
    <xf numFmtId="173" fontId="89" fillId="0" borderId="3" xfId="0" applyNumberFormat="1" applyFont="1" applyFill="1" applyBorder="1"/>
    <xf numFmtId="173" fontId="97" fillId="0" borderId="3" xfId="0" applyNumberFormat="1" applyFont="1" applyFill="1" applyBorder="1"/>
    <xf numFmtId="173" fontId="86" fillId="0" borderId="3" xfId="0" applyNumberFormat="1" applyFont="1" applyFill="1" applyBorder="1"/>
    <xf numFmtId="173" fontId="86" fillId="0" borderId="4" xfId="0" applyNumberFormat="1" applyFont="1" applyFill="1" applyBorder="1"/>
    <xf numFmtId="173" fontId="41" fillId="0" borderId="70" xfId="1" applyNumberFormat="1" applyFont="1" applyFill="1" applyBorder="1"/>
    <xf numFmtId="173" fontId="91" fillId="0" borderId="8" xfId="2" applyNumberFormat="1" applyFont="1" applyFill="1" applyBorder="1"/>
    <xf numFmtId="173" fontId="91" fillId="0" borderId="12" xfId="2" applyNumberFormat="1" applyFont="1" applyFill="1" applyBorder="1"/>
    <xf numFmtId="173" fontId="0" fillId="0" borderId="0" xfId="0" applyNumberFormat="1" applyFill="1"/>
    <xf numFmtId="0" fontId="50" fillId="0" borderId="0" xfId="0" applyFont="1" applyAlignment="1" applyProtection="1">
      <alignment horizontal="right"/>
      <protection locked="0"/>
    </xf>
    <xf numFmtId="0" fontId="50" fillId="0" borderId="3" xfId="0" applyFont="1" applyBorder="1" applyAlignment="1" applyProtection="1">
      <alignment horizontal="right"/>
      <protection locked="0"/>
    </xf>
    <xf numFmtId="166" fontId="51" fillId="0" borderId="3" xfId="1" applyNumberFormat="1" applyFont="1" applyFill="1" applyBorder="1"/>
    <xf numFmtId="167" fontId="51" fillId="0" borderId="3" xfId="2" applyNumberFormat="1" applyFont="1" applyFill="1" applyBorder="1" applyAlignment="1">
      <alignment wrapText="1"/>
    </xf>
    <xf numFmtId="173" fontId="97" fillId="0" borderId="12" xfId="0" applyNumberFormat="1" applyFont="1" applyFill="1" applyBorder="1"/>
    <xf numFmtId="173" fontId="86" fillId="0" borderId="12" xfId="13" applyNumberFormat="1" applyFont="1" applyFill="1" applyBorder="1"/>
    <xf numFmtId="173" fontId="89" fillId="0" borderId="3" xfId="2" applyNumberFormat="1" applyFont="1" applyFill="1" applyBorder="1"/>
    <xf numFmtId="173" fontId="89" fillId="0" borderId="3" xfId="13" applyNumberFormat="1" applyFont="1" applyFill="1" applyBorder="1"/>
    <xf numFmtId="173" fontId="89" fillId="0" borderId="17" xfId="13" applyNumberFormat="1" applyFont="1" applyFill="1" applyBorder="1"/>
    <xf numFmtId="173" fontId="3" fillId="0" borderId="0" xfId="0" applyNumberFormat="1" applyFont="1" applyFill="1"/>
    <xf numFmtId="0" fontId="0" fillId="0" borderId="0" xfId="0" applyFill="1" applyAlignment="1"/>
    <xf numFmtId="0" fontId="55" fillId="0" borderId="3" xfId="0" applyFont="1" applyFill="1" applyBorder="1" applyAlignment="1">
      <alignment horizontal="center"/>
    </xf>
    <xf numFmtId="167" fontId="48" fillId="0" borderId="3" xfId="2" applyNumberFormat="1" applyFont="1" applyFill="1" applyBorder="1" applyAlignment="1">
      <alignment horizontal="center" vertical="center"/>
    </xf>
    <xf numFmtId="167" fontId="48" fillId="0" borderId="3" xfId="2" applyNumberFormat="1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wrapText="1"/>
    </xf>
    <xf numFmtId="4" fontId="89" fillId="0" borderId="20" xfId="13" applyNumberFormat="1" applyFont="1" applyFill="1" applyBorder="1"/>
    <xf numFmtId="4" fontId="97" fillId="0" borderId="20" xfId="13" applyNumberFormat="1" applyFont="1" applyFill="1" applyBorder="1"/>
    <xf numFmtId="0" fontId="50" fillId="0" borderId="0" xfId="0" applyFont="1" applyFill="1" applyAlignment="1"/>
    <xf numFmtId="0" fontId="4" fillId="0" borderId="0" xfId="0" applyFont="1" applyFill="1" applyAlignment="1">
      <alignment horizontal="center" wrapText="1"/>
    </xf>
    <xf numFmtId="0" fontId="103" fillId="0" borderId="0" xfId="0" applyFont="1" applyFill="1" applyAlignment="1">
      <alignment wrapText="1"/>
    </xf>
    <xf numFmtId="0" fontId="104" fillId="0" borderId="0" xfId="0" applyFont="1" applyFill="1" applyAlignment="1">
      <alignment wrapText="1"/>
    </xf>
    <xf numFmtId="0" fontId="82" fillId="0" borderId="0" xfId="0" applyFont="1" applyFill="1"/>
    <xf numFmtId="0" fontId="52" fillId="0" borderId="0" xfId="0" applyFont="1" applyFill="1" applyAlignment="1">
      <alignment wrapText="1"/>
    </xf>
    <xf numFmtId="0" fontId="51" fillId="0" borderId="3" xfId="0" applyFont="1" applyFill="1" applyBorder="1" applyAlignment="1">
      <alignment horizontal="center" vertical="center"/>
    </xf>
    <xf numFmtId="0" fontId="51" fillId="0" borderId="3" xfId="0" applyFont="1" applyFill="1" applyBorder="1" applyAlignment="1">
      <alignment horizontal="center" vertical="center" wrapText="1"/>
    </xf>
    <xf numFmtId="0" fontId="51" fillId="0" borderId="17" xfId="0" applyFont="1" applyFill="1" applyBorder="1" applyAlignment="1">
      <alignment horizontal="center" vertical="center" wrapText="1"/>
    </xf>
    <xf numFmtId="0" fontId="86" fillId="0" borderId="3" xfId="0" applyFont="1" applyFill="1" applyBorder="1"/>
    <xf numFmtId="0" fontId="52" fillId="0" borderId="3" xfId="14" applyFont="1" applyFill="1" applyBorder="1"/>
    <xf numFmtId="3" fontId="37" fillId="0" borderId="3" xfId="0" applyNumberFormat="1" applyFont="1" applyFill="1" applyBorder="1" applyAlignment="1">
      <alignment horizontal="right" vertical="top" wrapText="1"/>
    </xf>
    <xf numFmtId="3" fontId="35" fillId="0" borderId="3" xfId="0" applyNumberFormat="1" applyFont="1" applyFill="1" applyBorder="1" applyAlignment="1">
      <alignment horizontal="right" vertical="top" wrapText="1"/>
    </xf>
    <xf numFmtId="167" fontId="50" fillId="0" borderId="1" xfId="0" applyNumberFormat="1" applyFont="1" applyFill="1" applyBorder="1"/>
    <xf numFmtId="167" fontId="51" fillId="0" borderId="1" xfId="0" applyNumberFormat="1" applyFont="1" applyFill="1" applyBorder="1"/>
    <xf numFmtId="3" fontId="91" fillId="0" borderId="3" xfId="0" applyNumberFormat="1" applyFont="1" applyFill="1" applyBorder="1" applyAlignment="1">
      <alignment horizontal="right" vertical="top" wrapText="1"/>
    </xf>
    <xf numFmtId="0" fontId="52" fillId="0" borderId="3" xfId="0" applyFont="1" applyFill="1" applyBorder="1" applyAlignment="1">
      <alignment horizontal="left" wrapText="1"/>
    </xf>
    <xf numFmtId="168" fontId="105" fillId="0" borderId="3" xfId="0" applyNumberFormat="1" applyFont="1" applyFill="1" applyBorder="1" applyAlignment="1">
      <alignment horizontal="center"/>
    </xf>
    <xf numFmtId="0" fontId="54" fillId="0" borderId="3" xfId="0" applyFont="1" applyFill="1" applyBorder="1"/>
    <xf numFmtId="167" fontId="54" fillId="0" borderId="3" xfId="0" applyNumberFormat="1" applyFont="1" applyFill="1" applyBorder="1"/>
    <xf numFmtId="168" fontId="54" fillId="0" borderId="3" xfId="0" applyNumberFormat="1" applyFont="1" applyFill="1" applyBorder="1"/>
    <xf numFmtId="168" fontId="85" fillId="0" borderId="3" xfId="2" applyNumberFormat="1" applyFont="1" applyFill="1" applyBorder="1"/>
    <xf numFmtId="0" fontId="85" fillId="0" borderId="3" xfId="0" applyFont="1" applyFill="1" applyBorder="1"/>
    <xf numFmtId="0" fontId="91" fillId="0" borderId="3" xfId="0" applyFont="1" applyFill="1" applyBorder="1" applyAlignment="1">
      <alignment horizontal="center"/>
    </xf>
    <xf numFmtId="167" fontId="100" fillId="0" borderId="3" xfId="0" applyNumberFormat="1" applyFont="1" applyFill="1" applyBorder="1"/>
    <xf numFmtId="168" fontId="3" fillId="0" borderId="0" xfId="0" applyNumberFormat="1" applyFont="1" applyFill="1"/>
    <xf numFmtId="0" fontId="50" fillId="0" borderId="0" xfId="0" applyFont="1" applyFill="1" applyBorder="1"/>
    <xf numFmtId="3" fontId="91" fillId="0" borderId="0" xfId="0" applyNumberFormat="1" applyFont="1" applyFill="1" applyBorder="1" applyAlignment="1">
      <alignment horizontal="right" vertical="top" wrapText="1"/>
    </xf>
    <xf numFmtId="0" fontId="15" fillId="0" borderId="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0" fontId="16" fillId="0" borderId="10" xfId="0" applyFont="1" applyFill="1" applyBorder="1"/>
    <xf numFmtId="0" fontId="17" fillId="0" borderId="3" xfId="0" applyFont="1" applyFill="1" applyBorder="1"/>
    <xf numFmtId="0" fontId="17" fillId="0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right"/>
    </xf>
    <xf numFmtId="167" fontId="17" fillId="0" borderId="3" xfId="2" applyNumberFormat="1" applyFont="1" applyFill="1" applyBorder="1" applyAlignment="1">
      <alignment horizontal="right"/>
    </xf>
    <xf numFmtId="167" fontId="17" fillId="0" borderId="1" xfId="2" applyNumberFormat="1" applyFont="1" applyFill="1" applyBorder="1" applyAlignment="1">
      <alignment horizontal="right"/>
    </xf>
    <xf numFmtId="168" fontId="3" fillId="0" borderId="3" xfId="0" applyNumberFormat="1" applyFont="1" applyFill="1" applyBorder="1"/>
    <xf numFmtId="0" fontId="17" fillId="0" borderId="10" xfId="0" applyFont="1" applyFill="1" applyBorder="1"/>
    <xf numFmtId="0" fontId="13" fillId="0" borderId="3" xfId="0" applyFont="1" applyFill="1" applyBorder="1" applyAlignment="1">
      <alignment wrapText="1"/>
    </xf>
    <xf numFmtId="168" fontId="17" fillId="0" borderId="3" xfId="2" applyNumberFormat="1" applyFont="1" applyFill="1" applyBorder="1" applyAlignment="1">
      <alignment horizontal="right"/>
    </xf>
    <xf numFmtId="0" fontId="18" fillId="0" borderId="10" xfId="0" applyFont="1" applyFill="1" applyBorder="1" applyAlignment="1">
      <alignment horizontal="right"/>
    </xf>
    <xf numFmtId="0" fontId="19" fillId="0" borderId="3" xfId="0" applyFont="1" applyFill="1" applyBorder="1" applyAlignment="1">
      <alignment horizontal="right" wrapText="1"/>
    </xf>
    <xf numFmtId="167" fontId="13" fillId="0" borderId="3" xfId="2" applyNumberFormat="1" applyFont="1" applyFill="1" applyBorder="1" applyAlignment="1">
      <alignment wrapText="1"/>
    </xf>
    <xf numFmtId="0" fontId="20" fillId="0" borderId="10" xfId="0" applyFont="1" applyFill="1" applyBorder="1" applyAlignment="1">
      <alignment horizontal="right"/>
    </xf>
    <xf numFmtId="167" fontId="21" fillId="0" borderId="3" xfId="2" applyNumberFormat="1" applyFont="1" applyFill="1" applyBorder="1" applyAlignment="1">
      <alignment horizontal="right"/>
    </xf>
    <xf numFmtId="0" fontId="17" fillId="0" borderId="3" xfId="0" applyFont="1" applyFill="1" applyBorder="1" applyAlignment="1">
      <alignment horizontal="left" wrapText="1"/>
    </xf>
    <xf numFmtId="0" fontId="17" fillId="0" borderId="11" xfId="0" applyFont="1" applyFill="1" applyBorder="1"/>
    <xf numFmtId="0" fontId="17" fillId="0" borderId="12" xfId="0" applyFont="1" applyFill="1" applyBorder="1" applyAlignment="1">
      <alignment horizontal="left" wrapText="1"/>
    </xf>
    <xf numFmtId="0" fontId="13" fillId="0" borderId="12" xfId="0" applyFont="1" applyFill="1" applyBorder="1" applyAlignment="1">
      <alignment wrapText="1"/>
    </xf>
    <xf numFmtId="167" fontId="17" fillId="0" borderId="12" xfId="2" applyNumberFormat="1" applyFont="1" applyFill="1" applyBorder="1" applyAlignment="1">
      <alignment horizontal="right"/>
    </xf>
    <xf numFmtId="167" fontId="17" fillId="0" borderId="41" xfId="2" applyNumberFormat="1" applyFont="1" applyFill="1" applyBorder="1" applyAlignment="1">
      <alignment horizontal="right"/>
    </xf>
    <xf numFmtId="0" fontId="47" fillId="0" borderId="34" xfId="0" applyFont="1" applyFill="1" applyBorder="1" applyAlignment="1">
      <alignment horizontal="center" vertical="center"/>
    </xf>
    <xf numFmtId="0" fontId="47" fillId="0" borderId="34" xfId="0" applyFont="1" applyFill="1" applyBorder="1" applyAlignment="1">
      <alignment wrapText="1"/>
    </xf>
    <xf numFmtId="0" fontId="31" fillId="0" borderId="34" xfId="0" applyFont="1" applyFill="1" applyBorder="1" applyAlignment="1">
      <alignment wrapText="1"/>
    </xf>
    <xf numFmtId="167" fontId="47" fillId="0" borderId="34" xfId="2" applyNumberFormat="1" applyFont="1" applyFill="1" applyBorder="1" applyAlignment="1">
      <alignment horizontal="right"/>
    </xf>
    <xf numFmtId="167" fontId="47" fillId="0" borderId="18" xfId="2" applyNumberFormat="1" applyFont="1" applyFill="1" applyBorder="1" applyAlignment="1">
      <alignment horizontal="right"/>
    </xf>
    <xf numFmtId="168" fontId="3" fillId="0" borderId="34" xfId="0" applyNumberFormat="1" applyFont="1" applyFill="1" applyBorder="1"/>
    <xf numFmtId="0" fontId="47" fillId="0" borderId="7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vertical="center" wrapText="1"/>
    </xf>
    <xf numFmtId="0" fontId="31" fillId="0" borderId="8" xfId="0" applyFont="1" applyFill="1" applyBorder="1" applyAlignment="1">
      <alignment vertical="center" wrapText="1"/>
    </xf>
    <xf numFmtId="167" fontId="47" fillId="0" borderId="8" xfId="2" applyNumberFormat="1" applyFont="1" applyFill="1" applyBorder="1" applyAlignment="1">
      <alignment horizontal="right" vertical="center"/>
    </xf>
    <xf numFmtId="167" fontId="47" fillId="0" borderId="9" xfId="2" applyNumberFormat="1" applyFont="1" applyFill="1" applyBorder="1" applyAlignment="1">
      <alignment horizontal="right" vertical="center"/>
    </xf>
    <xf numFmtId="168" fontId="3" fillId="0" borderId="8" xfId="0" applyNumberFormat="1" applyFont="1" applyFill="1" applyBorder="1" applyAlignment="1">
      <alignment vertical="center" wrapText="1"/>
    </xf>
    <xf numFmtId="168" fontId="3" fillId="0" borderId="8" xfId="0" applyNumberFormat="1" applyFont="1" applyFill="1" applyBorder="1" applyAlignment="1">
      <alignment vertical="center"/>
    </xf>
    <xf numFmtId="168" fontId="3" fillId="0" borderId="9" xfId="0" applyNumberFormat="1" applyFont="1" applyFill="1" applyBorder="1" applyAlignment="1">
      <alignment vertical="center"/>
    </xf>
    <xf numFmtId="168" fontId="3" fillId="0" borderId="72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5" fillId="0" borderId="3" xfId="3" applyFont="1" applyFill="1" applyBorder="1" applyAlignment="1">
      <alignment horizontal="right"/>
    </xf>
    <xf numFmtId="0" fontId="25" fillId="0" borderId="3" xfId="3" applyFont="1" applyFill="1" applyBorder="1" applyAlignment="1">
      <alignment horizontal="center"/>
    </xf>
    <xf numFmtId="169" fontId="25" fillId="0" borderId="3" xfId="3" applyNumberFormat="1" applyFont="1" applyFill="1" applyBorder="1"/>
    <xf numFmtId="167" fontId="25" fillId="0" borderId="3" xfId="2" applyNumberFormat="1" applyFont="1" applyFill="1" applyBorder="1" applyAlignment="1" applyProtection="1">
      <alignment horizontal="right"/>
    </xf>
    <xf numFmtId="167" fontId="25" fillId="0" borderId="1" xfId="2" applyNumberFormat="1" applyFont="1" applyFill="1" applyBorder="1" applyAlignment="1" applyProtection="1">
      <alignment horizontal="right"/>
    </xf>
    <xf numFmtId="0" fontId="0" fillId="0" borderId="82" xfId="0" applyFill="1" applyBorder="1"/>
    <xf numFmtId="0" fontId="0" fillId="0" borderId="20" xfId="0" applyFill="1" applyBorder="1"/>
    <xf numFmtId="0" fontId="25" fillId="0" borderId="3" xfId="3" applyFont="1" applyFill="1" applyBorder="1"/>
    <xf numFmtId="0" fontId="26" fillId="0" borderId="3" xfId="3" applyFont="1" applyFill="1" applyBorder="1" applyAlignment="1">
      <alignment horizontal="left" vertical="center" wrapText="1"/>
    </xf>
    <xf numFmtId="167" fontId="26" fillId="0" borderId="3" xfId="2" applyNumberFormat="1" applyFont="1" applyFill="1" applyBorder="1" applyAlignment="1" applyProtection="1">
      <alignment horizontal="right"/>
    </xf>
    <xf numFmtId="167" fontId="0" fillId="0" borderId="20" xfId="0" applyNumberFormat="1" applyFill="1" applyBorder="1"/>
    <xf numFmtId="0" fontId="26" fillId="0" borderId="3" xfId="3" applyFont="1" applyFill="1" applyBorder="1" applyAlignment="1">
      <alignment horizontal="left" vertical="center"/>
    </xf>
    <xf numFmtId="0" fontId="24" fillId="0" borderId="10" xfId="3" applyFont="1" applyFill="1" applyBorder="1" applyAlignment="1">
      <alignment horizontal="left" vertical="center"/>
    </xf>
    <xf numFmtId="0" fontId="27" fillId="0" borderId="3" xfId="3" applyFont="1" applyFill="1" applyBorder="1" applyAlignment="1">
      <alignment horizontal="right" vertical="center"/>
    </xf>
    <xf numFmtId="167" fontId="27" fillId="0" borderId="3" xfId="2" applyNumberFormat="1" applyFont="1" applyFill="1" applyBorder="1" applyAlignment="1">
      <alignment horizontal="left" vertical="center"/>
    </xf>
    <xf numFmtId="167" fontId="27" fillId="0" borderId="3" xfId="2" applyNumberFormat="1" applyFont="1" applyFill="1" applyBorder="1" applyAlignment="1" applyProtection="1">
      <alignment horizontal="right"/>
    </xf>
    <xf numFmtId="0" fontId="26" fillId="0" borderId="11" xfId="3" applyFont="1" applyFill="1" applyBorder="1" applyAlignment="1">
      <alignment horizontal="center" vertical="center"/>
    </xf>
    <xf numFmtId="0" fontId="26" fillId="0" borderId="12" xfId="3" applyFont="1" applyFill="1" applyBorder="1" applyAlignment="1">
      <alignment horizontal="justify" vertical="center" wrapText="1"/>
    </xf>
    <xf numFmtId="0" fontId="26" fillId="0" borderId="12" xfId="3" applyFont="1" applyFill="1" applyBorder="1" applyAlignment="1">
      <alignment horizontal="left" vertical="center" wrapText="1"/>
    </xf>
    <xf numFmtId="167" fontId="26" fillId="0" borderId="12" xfId="2" applyNumberFormat="1" applyFont="1" applyFill="1" applyBorder="1" applyAlignment="1" applyProtection="1">
      <alignment horizontal="right"/>
    </xf>
    <xf numFmtId="167" fontId="26" fillId="0" borderId="41" xfId="2" applyNumberFormat="1" applyFont="1" applyFill="1" applyBorder="1" applyAlignment="1" applyProtection="1">
      <alignment horizontal="right"/>
    </xf>
    <xf numFmtId="168" fontId="0" fillId="0" borderId="22" xfId="0" applyNumberFormat="1" applyFill="1" applyBorder="1"/>
    <xf numFmtId="0" fontId="26" fillId="0" borderId="7" xfId="3" applyFont="1" applyFill="1" applyBorder="1" applyAlignment="1">
      <alignment horizontal="center" vertical="center"/>
    </xf>
    <xf numFmtId="0" fontId="26" fillId="0" borderId="8" xfId="3" applyFont="1" applyFill="1" applyBorder="1" applyAlignment="1">
      <alignment horizontal="justify" vertical="center" wrapText="1"/>
    </xf>
    <xf numFmtId="0" fontId="26" fillId="0" borderId="8" xfId="3" applyFont="1" applyFill="1" applyBorder="1" applyAlignment="1">
      <alignment horizontal="left" vertical="center" wrapText="1"/>
    </xf>
    <xf numFmtId="167" fontId="26" fillId="0" borderId="8" xfId="2" applyNumberFormat="1" applyFont="1" applyFill="1" applyBorder="1" applyAlignment="1" applyProtection="1">
      <alignment horizontal="right" vertical="center"/>
    </xf>
    <xf numFmtId="167" fontId="26" fillId="0" borderId="9" xfId="2" applyNumberFormat="1" applyFont="1" applyFill="1" applyBorder="1" applyAlignment="1" applyProtection="1">
      <alignment horizontal="right" vertical="center"/>
    </xf>
    <xf numFmtId="168" fontId="3" fillId="0" borderId="2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3" xfId="0" applyFont="1" applyFill="1" applyBorder="1" applyAlignment="1">
      <alignment wrapText="1"/>
    </xf>
    <xf numFmtId="167" fontId="47" fillId="0" borderId="3" xfId="2" applyNumberFormat="1" applyFont="1" applyFill="1" applyBorder="1" applyAlignment="1">
      <alignment horizontal="right"/>
    </xf>
    <xf numFmtId="167" fontId="26" fillId="0" borderId="1" xfId="2" applyNumberFormat="1" applyFont="1" applyFill="1" applyBorder="1" applyAlignment="1" applyProtection="1">
      <alignment horizontal="right"/>
    </xf>
    <xf numFmtId="0" fontId="28" fillId="0" borderId="10" xfId="3" applyFont="1" applyFill="1" applyBorder="1" applyAlignment="1">
      <alignment horizontal="left"/>
    </xf>
    <xf numFmtId="0" fontId="28" fillId="0" borderId="3" xfId="3" applyFont="1" applyFill="1" applyBorder="1" applyAlignment="1">
      <alignment horizontal="left"/>
    </xf>
    <xf numFmtId="0" fontId="29" fillId="0" borderId="3" xfId="3" applyFont="1" applyFill="1" applyBorder="1"/>
    <xf numFmtId="0" fontId="30" fillId="0" borderId="3" xfId="3" applyFont="1" applyFill="1" applyBorder="1"/>
    <xf numFmtId="167" fontId="28" fillId="0" borderId="3" xfId="2" applyNumberFormat="1" applyFont="1" applyFill="1" applyBorder="1" applyAlignment="1" applyProtection="1"/>
    <xf numFmtId="0" fontId="26" fillId="0" borderId="10" xfId="3" applyFont="1" applyFill="1" applyBorder="1" applyAlignment="1">
      <alignment horizontal="center" vertical="center"/>
    </xf>
    <xf numFmtId="0" fontId="26" fillId="0" borderId="3" xfId="3" applyFont="1" applyFill="1" applyBorder="1" applyAlignment="1">
      <alignment horizontal="justify" vertical="center" wrapText="1"/>
    </xf>
    <xf numFmtId="0" fontId="22" fillId="0" borderId="10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17" fillId="0" borderId="10" xfId="0" applyFont="1" applyFill="1" applyBorder="1" applyAlignment="1">
      <alignment horizontal="right"/>
    </xf>
    <xf numFmtId="0" fontId="21" fillId="0" borderId="3" xfId="0" applyFont="1" applyFill="1" applyBorder="1" applyAlignment="1">
      <alignment horizontal="right"/>
    </xf>
    <xf numFmtId="0" fontId="21" fillId="0" borderId="3" xfId="0" applyFont="1" applyFill="1" applyBorder="1"/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left" vertical="center" wrapText="1"/>
    </xf>
    <xf numFmtId="167" fontId="22" fillId="0" borderId="12" xfId="2" applyNumberFormat="1" applyFont="1" applyFill="1" applyBorder="1" applyAlignment="1">
      <alignment horizontal="right"/>
    </xf>
    <xf numFmtId="167" fontId="22" fillId="0" borderId="22" xfId="2" applyNumberFormat="1" applyFont="1" applyFill="1" applyBorder="1" applyAlignment="1">
      <alignment horizontal="right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wrapText="1"/>
    </xf>
    <xf numFmtId="167" fontId="22" fillId="0" borderId="8" xfId="2" applyNumberFormat="1" applyFont="1" applyFill="1" applyBorder="1" applyAlignment="1">
      <alignment horizontal="right"/>
    </xf>
    <xf numFmtId="167" fontId="22" fillId="0" borderId="9" xfId="2" applyNumberFormat="1" applyFont="1" applyFill="1" applyBorder="1" applyAlignment="1">
      <alignment horizontal="right"/>
    </xf>
    <xf numFmtId="167" fontId="22" fillId="0" borderId="21" xfId="2" applyNumberFormat="1" applyFont="1" applyFill="1" applyBorder="1" applyAlignment="1">
      <alignment horizontal="right"/>
    </xf>
    <xf numFmtId="0" fontId="13" fillId="0" borderId="10" xfId="0" applyFont="1" applyFill="1" applyBorder="1" applyAlignment="1">
      <alignment wrapText="1"/>
    </xf>
    <xf numFmtId="168" fontId="0" fillId="0" borderId="20" xfId="0" applyNumberFormat="1" applyFill="1" applyBorder="1"/>
    <xf numFmtId="167" fontId="26" fillId="0" borderId="9" xfId="2" applyNumberFormat="1" applyFont="1" applyFill="1" applyBorder="1" applyAlignment="1" applyProtection="1">
      <alignment horizontal="right"/>
    </xf>
    <xf numFmtId="168" fontId="3" fillId="0" borderId="8" xfId="0" applyNumberFormat="1" applyFont="1" applyFill="1" applyBorder="1"/>
    <xf numFmtId="168" fontId="3" fillId="0" borderId="8" xfId="0" applyNumberFormat="1" applyFont="1" applyFill="1" applyBorder="1" applyAlignment="1">
      <alignment wrapText="1"/>
    </xf>
    <xf numFmtId="168" fontId="0" fillId="0" borderId="21" xfId="0" applyNumberFormat="1" applyFill="1" applyBorder="1"/>
    <xf numFmtId="0" fontId="0" fillId="0" borderId="12" xfId="0" applyFill="1" applyBorder="1"/>
    <xf numFmtId="0" fontId="0" fillId="0" borderId="22" xfId="0" applyFill="1" applyBorder="1"/>
    <xf numFmtId="0" fontId="22" fillId="0" borderId="34" xfId="0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horizontal="left" vertical="center" wrapText="1"/>
    </xf>
    <xf numFmtId="0" fontId="13" fillId="0" borderId="34" xfId="0" applyFont="1" applyFill="1" applyBorder="1" applyAlignment="1">
      <alignment wrapText="1"/>
    </xf>
    <xf numFmtId="167" fontId="22" fillId="0" borderId="34" xfId="2" applyNumberFormat="1" applyFont="1" applyFill="1" applyBorder="1" applyAlignment="1">
      <alignment horizontal="right"/>
    </xf>
    <xf numFmtId="167" fontId="26" fillId="0" borderId="18" xfId="2" applyNumberFormat="1" applyFont="1" applyFill="1" applyBorder="1" applyAlignment="1" applyProtection="1">
      <alignment horizontal="right"/>
    </xf>
    <xf numFmtId="168" fontId="0" fillId="0" borderId="34" xfId="0" applyNumberFormat="1" applyFill="1" applyBorder="1"/>
    <xf numFmtId="0" fontId="0" fillId="0" borderId="34" xfId="0" applyFill="1" applyBorder="1"/>
    <xf numFmtId="0" fontId="13" fillId="0" borderId="70" xfId="0" applyFont="1" applyFill="1" applyBorder="1" applyAlignment="1">
      <alignment wrapText="1"/>
    </xf>
    <xf numFmtId="167" fontId="80" fillId="0" borderId="70" xfId="2" applyNumberFormat="1" applyFont="1" applyFill="1" applyBorder="1" applyAlignment="1">
      <alignment horizontal="right"/>
    </xf>
    <xf numFmtId="167" fontId="80" fillId="0" borderId="71" xfId="2" applyNumberFormat="1" applyFont="1" applyFill="1" applyBorder="1" applyAlignment="1">
      <alignment horizontal="right"/>
    </xf>
    <xf numFmtId="167" fontId="83" fillId="0" borderId="83" xfId="2" applyNumberFormat="1" applyFont="1" applyFill="1" applyBorder="1" applyAlignment="1">
      <alignment horizontal="right"/>
    </xf>
    <xf numFmtId="167" fontId="82" fillId="0" borderId="0" xfId="2" applyNumberFormat="1" applyFont="1" applyFill="1"/>
    <xf numFmtId="0" fontId="54" fillId="0" borderId="0" xfId="0" applyFont="1" applyFill="1" applyAlignment="1">
      <alignment horizontal="center"/>
    </xf>
    <xf numFmtId="0" fontId="54" fillId="0" borderId="0" xfId="0" applyFont="1" applyFill="1" applyAlignment="1"/>
    <xf numFmtId="167" fontId="54" fillId="0" borderId="0" xfId="2" applyNumberFormat="1" applyFont="1" applyFill="1" applyAlignment="1">
      <alignment horizontal="center"/>
    </xf>
    <xf numFmtId="0" fontId="54" fillId="0" borderId="0" xfId="0" applyFont="1" applyFill="1"/>
    <xf numFmtId="0" fontId="90" fillId="0" borderId="3" xfId="0" applyFont="1" applyFill="1" applyBorder="1" applyAlignment="1">
      <alignment horizontal="center" vertical="center" wrapText="1"/>
    </xf>
    <xf numFmtId="167" fontId="90" fillId="0" borderId="3" xfId="2" applyNumberFormat="1" applyFont="1" applyFill="1" applyBorder="1" applyAlignment="1">
      <alignment horizontal="center" vertical="center" wrapText="1"/>
    </xf>
    <xf numFmtId="0" fontId="82" fillId="0" borderId="3" xfId="0" applyFont="1" applyFill="1" applyBorder="1" applyAlignment="1">
      <alignment wrapText="1"/>
    </xf>
    <xf numFmtId="0" fontId="90" fillId="0" borderId="3" xfId="0" applyFont="1" applyFill="1" applyBorder="1" applyAlignment="1">
      <alignment horizontal="left" vertical="top" wrapText="1"/>
    </xf>
    <xf numFmtId="0" fontId="54" fillId="0" borderId="3" xfId="0" applyFont="1" applyFill="1" applyBorder="1" applyAlignment="1">
      <alignment horizontal="right"/>
    </xf>
    <xf numFmtId="167" fontId="54" fillId="0" borderId="3" xfId="2" applyNumberFormat="1" applyFont="1" applyFill="1" applyBorder="1" applyAlignment="1">
      <alignment horizontal="right"/>
    </xf>
    <xf numFmtId="10" fontId="82" fillId="0" borderId="3" xfId="13" applyNumberFormat="1" applyFont="1" applyFill="1" applyBorder="1"/>
    <xf numFmtId="167" fontId="82" fillId="0" borderId="3" xfId="2" applyNumberFormat="1" applyFont="1" applyFill="1" applyBorder="1" applyAlignment="1">
      <alignment horizontal="right"/>
    </xf>
    <xf numFmtId="0" fontId="44" fillId="0" borderId="3" xfId="0" applyFont="1" applyFill="1" applyBorder="1" applyAlignment="1">
      <alignment horizontal="left" vertical="top" wrapText="1"/>
    </xf>
    <xf numFmtId="0" fontId="82" fillId="0" borderId="3" xfId="0" applyFont="1" applyFill="1" applyBorder="1" applyAlignment="1">
      <alignment horizontal="right"/>
    </xf>
    <xf numFmtId="10" fontId="82" fillId="0" borderId="3" xfId="13" applyNumberFormat="1" applyFont="1" applyFill="1" applyBorder="1" applyAlignment="1">
      <alignment horizontal="center"/>
    </xf>
    <xf numFmtId="0" fontId="106" fillId="0" borderId="3" xfId="0" applyFont="1" applyFill="1" applyBorder="1" applyAlignment="1">
      <alignment horizontal="left" vertical="top" wrapText="1"/>
    </xf>
    <xf numFmtId="0" fontId="107" fillId="0" borderId="3" xfId="0" applyFont="1" applyFill="1" applyBorder="1" applyAlignment="1">
      <alignment horizontal="right"/>
    </xf>
    <xf numFmtId="167" fontId="107" fillId="0" borderId="3" xfId="2" applyNumberFormat="1" applyFont="1" applyFill="1" applyBorder="1" applyAlignment="1">
      <alignment horizontal="right"/>
    </xf>
    <xf numFmtId="10" fontId="108" fillId="0" borderId="3" xfId="13" applyNumberFormat="1" applyFont="1" applyFill="1" applyBorder="1"/>
    <xf numFmtId="0" fontId="110" fillId="0" borderId="3" xfId="0" applyFont="1" applyFill="1" applyBorder="1" applyAlignment="1">
      <alignment horizontal="right"/>
    </xf>
    <xf numFmtId="167" fontId="110" fillId="0" borderId="3" xfId="2" applyNumberFormat="1" applyFont="1" applyFill="1" applyBorder="1" applyAlignment="1">
      <alignment horizontal="right"/>
    </xf>
    <xf numFmtId="0" fontId="54" fillId="0" borderId="3" xfId="0" applyFont="1" applyFill="1" applyBorder="1" applyAlignment="1">
      <alignment wrapText="1"/>
    </xf>
    <xf numFmtId="0" fontId="54" fillId="0" borderId="3" xfId="0" applyFont="1" applyFill="1" applyBorder="1" applyAlignment="1">
      <alignment horizontal="center" vertical="center" wrapText="1"/>
    </xf>
    <xf numFmtId="0" fontId="109" fillId="0" borderId="3" xfId="0" applyFont="1" applyFill="1" applyBorder="1" applyAlignment="1">
      <alignment horizontal="left" wrapText="1"/>
    </xf>
    <xf numFmtId="10" fontId="110" fillId="0" borderId="3" xfId="13" applyNumberFormat="1" applyFont="1" applyFill="1" applyBorder="1" applyAlignment="1"/>
    <xf numFmtId="0" fontId="82" fillId="0" borderId="0" xfId="0" applyFont="1" applyFill="1" applyAlignment="1"/>
    <xf numFmtId="38" fontId="111" fillId="0" borderId="1" xfId="1" applyNumberFormat="1" applyFont="1" applyFill="1" applyBorder="1" applyAlignment="1">
      <alignment vertical="center"/>
    </xf>
    <xf numFmtId="167" fontId="111" fillId="0" borderId="3" xfId="2" applyNumberFormat="1" applyFont="1" applyFill="1" applyBorder="1" applyAlignment="1">
      <alignment horizontal="right" vertical="center"/>
    </xf>
    <xf numFmtId="167" fontId="82" fillId="0" borderId="0" xfId="0" applyNumberFormat="1" applyFont="1" applyFill="1"/>
    <xf numFmtId="38" fontId="111" fillId="0" borderId="3" xfId="1" applyNumberFormat="1" applyFont="1" applyFill="1" applyBorder="1" applyAlignment="1">
      <alignment horizontal="left" vertical="center"/>
    </xf>
    <xf numFmtId="38" fontId="111" fillId="0" borderId="6" xfId="1" applyNumberFormat="1" applyFont="1" applyFill="1" applyBorder="1" applyAlignment="1">
      <alignment horizontal="left" vertical="center"/>
    </xf>
    <xf numFmtId="38" fontId="44" fillId="0" borderId="1" xfId="1" applyNumberFormat="1" applyFont="1" applyFill="1" applyBorder="1" applyAlignment="1">
      <alignment vertical="center"/>
    </xf>
    <xf numFmtId="167" fontId="44" fillId="0" borderId="3" xfId="2" applyNumberFormat="1" applyFont="1" applyFill="1" applyBorder="1" applyAlignment="1">
      <alignment horizontal="right" vertical="center"/>
    </xf>
    <xf numFmtId="38" fontId="112" fillId="0" borderId="1" xfId="1" applyNumberFormat="1" applyFont="1" applyFill="1" applyBorder="1" applyAlignment="1">
      <alignment vertical="center"/>
    </xf>
    <xf numFmtId="167" fontId="112" fillId="0" borderId="3" xfId="2" applyNumberFormat="1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167" fontId="54" fillId="0" borderId="3" xfId="2" applyNumberFormat="1" applyFont="1" applyFill="1" applyBorder="1" applyAlignment="1">
      <alignment horizontal="center" vertical="center" wrapText="1"/>
    </xf>
    <xf numFmtId="167" fontId="54" fillId="0" borderId="3" xfId="2" applyNumberFormat="1" applyFont="1" applyFill="1" applyBorder="1" applyAlignment="1">
      <alignment horizontal="center" vertical="center"/>
    </xf>
    <xf numFmtId="0" fontId="54" fillId="0" borderId="3" xfId="0" applyFont="1" applyFill="1" applyBorder="1" applyAlignment="1">
      <alignment horizontal="center" vertical="center"/>
    </xf>
    <xf numFmtId="49" fontId="44" fillId="0" borderId="18" xfId="0" applyNumberFormat="1" applyFont="1" applyFill="1" applyBorder="1" applyAlignment="1">
      <alignment horizontal="center" vertical="center" textRotation="90" wrapText="1"/>
    </xf>
    <xf numFmtId="0" fontId="111" fillId="0" borderId="0" xfId="0" applyFont="1" applyFill="1" applyAlignment="1">
      <alignment horizontal="left" wrapText="1"/>
    </xf>
    <xf numFmtId="0" fontId="54" fillId="0" borderId="0" xfId="0" applyFont="1" applyFill="1" applyAlignment="1">
      <alignment horizontal="center" wrapText="1"/>
    </xf>
    <xf numFmtId="164" fontId="54" fillId="0" borderId="0" xfId="2" applyNumberFormat="1" applyFont="1" applyFill="1" applyAlignment="1">
      <alignment horizontal="center" wrapText="1"/>
    </xf>
    <xf numFmtId="0" fontId="54" fillId="0" borderId="7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horizontal="center" vertical="center"/>
    </xf>
    <xf numFmtId="164" fontId="54" fillId="0" borderId="9" xfId="2" applyNumberFormat="1" applyFont="1" applyFill="1" applyBorder="1" applyAlignment="1">
      <alignment horizontal="center" vertical="center" wrapText="1"/>
    </xf>
    <xf numFmtId="164" fontId="54" fillId="0" borderId="3" xfId="2" applyNumberFormat="1" applyFont="1" applyFill="1" applyBorder="1" applyAlignment="1">
      <alignment horizontal="center" vertical="center" wrapText="1"/>
    </xf>
    <xf numFmtId="0" fontId="82" fillId="0" borderId="10" xfId="0" applyFont="1" applyFill="1" applyBorder="1" applyAlignment="1">
      <alignment wrapText="1"/>
    </xf>
    <xf numFmtId="166" fontId="12" fillId="0" borderId="0" xfId="0" applyNumberFormat="1" applyFont="1" applyFill="1"/>
    <xf numFmtId="0" fontId="54" fillId="0" borderId="10" xfId="0" applyFont="1" applyFill="1" applyBorder="1" applyAlignment="1">
      <alignment wrapText="1"/>
    </xf>
    <xf numFmtId="0" fontId="90" fillId="0" borderId="10" xfId="0" applyFont="1" applyFill="1" applyBorder="1" applyAlignment="1">
      <alignment horizontal="left" vertical="top" wrapText="1"/>
    </xf>
    <xf numFmtId="0" fontId="44" fillId="0" borderId="10" xfId="0" applyFont="1" applyFill="1" applyBorder="1" applyAlignment="1">
      <alignment horizontal="right" vertical="top" wrapText="1"/>
    </xf>
    <xf numFmtId="0" fontId="44" fillId="0" borderId="3" xfId="0" applyFont="1" applyFill="1" applyBorder="1" applyAlignment="1">
      <alignment vertical="top" wrapText="1"/>
    </xf>
    <xf numFmtId="0" fontId="44" fillId="0" borderId="10" xfId="0" applyFont="1" applyFill="1" applyBorder="1" applyAlignment="1">
      <alignment horizontal="left" vertical="top" wrapText="1"/>
    </xf>
    <xf numFmtId="0" fontId="90" fillId="0" borderId="40" xfId="0" applyFont="1" applyFill="1" applyBorder="1" applyAlignment="1">
      <alignment horizontal="left" vertical="top" wrapText="1"/>
    </xf>
    <xf numFmtId="0" fontId="54" fillId="0" borderId="4" xfId="0" applyFont="1" applyFill="1" applyBorder="1" applyAlignment="1">
      <alignment horizontal="right"/>
    </xf>
    <xf numFmtId="164" fontId="82" fillId="0" borderId="0" xfId="2" applyNumberFormat="1" applyFont="1" applyFill="1"/>
    <xf numFmtId="10" fontId="82" fillId="0" borderId="0" xfId="13" applyNumberFormat="1" applyFont="1" applyFill="1"/>
    <xf numFmtId="166" fontId="54" fillId="0" borderId="1" xfId="1" applyNumberFormat="1" applyFont="1" applyFill="1" applyBorder="1" applyAlignment="1">
      <alignment horizontal="center" vertical="center" wrapText="1"/>
    </xf>
    <xf numFmtId="173" fontId="82" fillId="0" borderId="1" xfId="2" applyNumberFormat="1" applyFont="1" applyFill="1" applyBorder="1"/>
    <xf numFmtId="173" fontId="82" fillId="0" borderId="1" xfId="1" applyNumberFormat="1" applyFont="1" applyFill="1" applyBorder="1"/>
    <xf numFmtId="173" fontId="54" fillId="0" borderId="1" xfId="2" applyNumberFormat="1" applyFont="1" applyFill="1" applyBorder="1"/>
    <xf numFmtId="173" fontId="54" fillId="0" borderId="1" xfId="1" applyNumberFormat="1" applyFont="1" applyFill="1" applyBorder="1"/>
    <xf numFmtId="173" fontId="82" fillId="0" borderId="3" xfId="2" applyNumberFormat="1" applyFont="1" applyFill="1" applyBorder="1"/>
    <xf numFmtId="173" fontId="49" fillId="0" borderId="0" xfId="1" applyNumberFormat="1" applyFont="1" applyFill="1" applyProtection="1">
      <protection locked="0"/>
    </xf>
    <xf numFmtId="173" fontId="90" fillId="0" borderId="14" xfId="2" applyNumberFormat="1" applyFont="1" applyFill="1" applyBorder="1" applyAlignment="1">
      <alignment horizontal="right" wrapText="1"/>
    </xf>
    <xf numFmtId="173" fontId="90" fillId="0" borderId="1" xfId="1" applyNumberFormat="1" applyFont="1" applyFill="1" applyBorder="1" applyAlignment="1">
      <alignment horizontal="right" wrapText="1"/>
    </xf>
    <xf numFmtId="173" fontId="82" fillId="0" borderId="14" xfId="2" applyNumberFormat="1" applyFont="1" applyFill="1" applyBorder="1"/>
    <xf numFmtId="173" fontId="54" fillId="0" borderId="14" xfId="2" applyNumberFormat="1" applyFont="1" applyFill="1" applyBorder="1"/>
    <xf numFmtId="173" fontId="90" fillId="0" borderId="77" xfId="2" applyNumberFormat="1" applyFont="1" applyFill="1" applyBorder="1" applyAlignment="1">
      <alignment horizontal="right" wrapText="1"/>
    </xf>
    <xf numFmtId="0" fontId="54" fillId="0" borderId="11" xfId="0" applyFont="1" applyFill="1" applyBorder="1" applyAlignment="1">
      <alignment wrapText="1"/>
    </xf>
    <xf numFmtId="0" fontId="54" fillId="0" borderId="12" xfId="0" applyFont="1" applyFill="1" applyBorder="1"/>
    <xf numFmtId="173" fontId="54" fillId="0" borderId="41" xfId="2" applyNumberFormat="1" applyFont="1" applyFill="1" applyBorder="1"/>
    <xf numFmtId="10" fontId="54" fillId="0" borderId="3" xfId="13" applyNumberFormat="1" applyFont="1" applyFill="1" applyBorder="1"/>
    <xf numFmtId="173" fontId="90" fillId="0" borderId="35" xfId="1" applyNumberFormat="1" applyFont="1" applyFill="1" applyBorder="1" applyAlignment="1">
      <alignment horizontal="right" wrapText="1"/>
    </xf>
    <xf numFmtId="10" fontId="82" fillId="0" borderId="17" xfId="13" applyNumberFormat="1" applyFont="1" applyFill="1" applyBorder="1"/>
    <xf numFmtId="173" fontId="54" fillId="0" borderId="41" xfId="1" applyNumberFormat="1" applyFont="1" applyFill="1" applyBorder="1"/>
    <xf numFmtId="10" fontId="54" fillId="0" borderId="12" xfId="13" applyNumberFormat="1" applyFont="1" applyFill="1" applyBorder="1"/>
    <xf numFmtId="173" fontId="54" fillId="0" borderId="35" xfId="2" applyNumberFormat="1" applyFont="1" applyFill="1" applyBorder="1"/>
    <xf numFmtId="173" fontId="12" fillId="0" borderId="0" xfId="0" applyNumberFormat="1" applyFont="1" applyFill="1"/>
    <xf numFmtId="10" fontId="54" fillId="0" borderId="3" xfId="13" applyNumberFormat="1" applyFont="1" applyFill="1" applyBorder="1" applyAlignment="1">
      <alignment horizontal="center" vertical="center" wrapText="1"/>
    </xf>
    <xf numFmtId="170" fontId="90" fillId="0" borderId="3" xfId="4" applyNumberFormat="1" applyFont="1" applyFill="1" applyBorder="1" applyAlignment="1">
      <alignment vertical="center" wrapText="1"/>
    </xf>
    <xf numFmtId="170" fontId="90" fillId="0" borderId="3" xfId="4" applyNumberFormat="1" applyFont="1" applyFill="1" applyBorder="1" applyAlignment="1">
      <alignment horizontal="right" wrapText="1"/>
    </xf>
    <xf numFmtId="0" fontId="44" fillId="0" borderId="3" xfId="0" applyFont="1" applyFill="1" applyBorder="1" applyAlignment="1">
      <alignment horizontal="right" vertical="top" wrapText="1"/>
    </xf>
    <xf numFmtId="170" fontId="82" fillId="0" borderId="3" xfId="4" applyNumberFormat="1" applyFont="1" applyFill="1" applyBorder="1"/>
    <xf numFmtId="0" fontId="44" fillId="0" borderId="3" xfId="0" applyFont="1" applyFill="1" applyBorder="1" applyAlignment="1">
      <alignment wrapText="1"/>
    </xf>
    <xf numFmtId="173" fontId="90" fillId="0" borderId="3" xfId="4" applyNumberFormat="1" applyFont="1" applyFill="1" applyBorder="1" applyAlignment="1">
      <alignment vertical="center" wrapText="1"/>
    </xf>
    <xf numFmtId="173" fontId="90" fillId="0" borderId="3" xfId="4" applyNumberFormat="1" applyFont="1" applyFill="1" applyBorder="1" applyAlignment="1">
      <alignment horizontal="right" wrapText="1"/>
    </xf>
    <xf numFmtId="173" fontId="82" fillId="0" borderId="3" xfId="4" applyNumberFormat="1" applyFont="1" applyFill="1" applyBorder="1"/>
    <xf numFmtId="173" fontId="54" fillId="0" borderId="3" xfId="4" applyNumberFormat="1" applyFont="1" applyFill="1" applyBorder="1"/>
    <xf numFmtId="173" fontId="82" fillId="0" borderId="3" xfId="0" applyNumberFormat="1" applyFont="1" applyFill="1" applyBorder="1"/>
    <xf numFmtId="9" fontId="50" fillId="0" borderId="0" xfId="13" applyFont="1" applyFill="1"/>
    <xf numFmtId="9" fontId="50" fillId="0" borderId="3" xfId="13" applyFont="1" applyFill="1" applyBorder="1"/>
    <xf numFmtId="9" fontId="82" fillId="0" borderId="0" xfId="13" applyFont="1" applyFill="1"/>
    <xf numFmtId="9" fontId="54" fillId="0" borderId="3" xfId="13" applyFont="1" applyFill="1" applyBorder="1"/>
    <xf numFmtId="9" fontId="82" fillId="0" borderId="3" xfId="13" applyFont="1" applyFill="1" applyBorder="1"/>
    <xf numFmtId="9" fontId="54" fillId="0" borderId="3" xfId="13" applyFont="1" applyFill="1" applyBorder="1" applyAlignment="1">
      <alignment wrapText="1"/>
    </xf>
    <xf numFmtId="0" fontId="107" fillId="0" borderId="3" xfId="0" applyFont="1" applyFill="1" applyBorder="1" applyAlignment="1">
      <alignment wrapText="1"/>
    </xf>
    <xf numFmtId="0" fontId="107" fillId="0" borderId="3" xfId="0" applyFont="1" applyFill="1" applyBorder="1"/>
    <xf numFmtId="167" fontId="107" fillId="0" borderId="3" xfId="2" applyNumberFormat="1" applyFont="1" applyFill="1" applyBorder="1"/>
    <xf numFmtId="167" fontId="114" fillId="0" borderId="3" xfId="2" applyNumberFormat="1" applyFont="1" applyFill="1" applyBorder="1"/>
    <xf numFmtId="9" fontId="114" fillId="0" borderId="3" xfId="13" applyFont="1" applyFill="1" applyBorder="1"/>
    <xf numFmtId="9" fontId="107" fillId="0" borderId="3" xfId="13" applyFont="1" applyFill="1" applyBorder="1"/>
    <xf numFmtId="3" fontId="82" fillId="0" borderId="0" xfId="0" applyNumberFormat="1" applyFont="1" applyFill="1"/>
    <xf numFmtId="3" fontId="54" fillId="0" borderId="0" xfId="0" applyNumberFormat="1" applyFont="1" applyFill="1" applyAlignment="1">
      <alignment horizontal="center" wrapText="1"/>
    </xf>
    <xf numFmtId="0" fontId="44" fillId="0" borderId="2" xfId="0" applyFont="1" applyFill="1" applyBorder="1" applyAlignment="1">
      <alignment wrapText="1"/>
    </xf>
    <xf numFmtId="0" fontId="44" fillId="0" borderId="1" xfId="0" applyFont="1" applyFill="1" applyBorder="1" applyAlignment="1">
      <alignment wrapText="1"/>
    </xf>
    <xf numFmtId="173" fontId="44" fillId="0" borderId="3" xfId="4" applyNumberFormat="1" applyFont="1" applyFill="1" applyBorder="1" applyAlignment="1">
      <alignment horizontal="right" wrapText="1"/>
    </xf>
    <xf numFmtId="0" fontId="90" fillId="0" borderId="11" xfId="0" applyFont="1" applyFill="1" applyBorder="1" applyAlignment="1">
      <alignment horizontal="left" wrapText="1"/>
    </xf>
    <xf numFmtId="3" fontId="90" fillId="0" borderId="3" xfId="4" applyNumberFormat="1" applyFont="1" applyFill="1" applyBorder="1" applyAlignment="1">
      <alignment horizontal="center" vertical="center" wrapText="1"/>
    </xf>
    <xf numFmtId="3" fontId="90" fillId="0" borderId="15" xfId="4" applyNumberFormat="1" applyFont="1" applyFill="1" applyBorder="1" applyAlignment="1">
      <alignment horizontal="center" vertical="center" wrapText="1"/>
    </xf>
    <xf numFmtId="173" fontId="90" fillId="0" borderId="15" xfId="4" applyNumberFormat="1" applyFont="1" applyFill="1" applyBorder="1" applyAlignment="1">
      <alignment horizontal="right" wrapText="1"/>
    </xf>
    <xf numFmtId="173" fontId="82" fillId="0" borderId="15" xfId="4" applyNumberFormat="1" applyFont="1" applyFill="1" applyBorder="1"/>
    <xf numFmtId="173" fontId="54" fillId="0" borderId="15" xfId="4" applyNumberFormat="1" applyFont="1" applyFill="1" applyBorder="1"/>
    <xf numFmtId="0" fontId="54" fillId="0" borderId="20" xfId="0" applyFont="1" applyFill="1" applyBorder="1" applyAlignment="1">
      <alignment horizontal="right"/>
    </xf>
    <xf numFmtId="0" fontId="82" fillId="0" borderId="20" xfId="0" applyFont="1" applyFill="1" applyBorder="1" applyAlignment="1">
      <alignment horizontal="right"/>
    </xf>
    <xf numFmtId="0" fontId="44" fillId="0" borderId="20" xfId="0" applyFont="1" applyFill="1" applyBorder="1" applyAlignment="1">
      <alignment vertical="top" wrapText="1"/>
    </xf>
    <xf numFmtId="0" fontId="54" fillId="0" borderId="22" xfId="0" applyFont="1" applyFill="1" applyBorder="1" applyAlignment="1">
      <alignment horizontal="right"/>
    </xf>
    <xf numFmtId="3" fontId="90" fillId="0" borderId="10" xfId="4" applyNumberFormat="1" applyFont="1" applyFill="1" applyBorder="1" applyAlignment="1">
      <alignment horizontal="center" vertical="center" wrapText="1"/>
    </xf>
    <xf numFmtId="3" fontId="90" fillId="0" borderId="20" xfId="4" applyNumberFormat="1" applyFont="1" applyFill="1" applyBorder="1" applyAlignment="1">
      <alignment horizontal="center" vertical="center" wrapText="1"/>
    </xf>
    <xf numFmtId="173" fontId="90" fillId="0" borderId="10" xfId="4" applyNumberFormat="1" applyFont="1" applyFill="1" applyBorder="1" applyAlignment="1">
      <alignment horizontal="right" wrapText="1"/>
    </xf>
    <xf numFmtId="173" fontId="90" fillId="0" borderId="20" xfId="4" applyNumberFormat="1" applyFont="1" applyFill="1" applyBorder="1" applyAlignment="1">
      <alignment horizontal="right" wrapText="1"/>
    </xf>
    <xf numFmtId="173" fontId="82" fillId="0" borderId="10" xfId="4" applyNumberFormat="1" applyFont="1" applyFill="1" applyBorder="1"/>
    <xf numFmtId="173" fontId="82" fillId="0" borderId="20" xfId="4" applyNumberFormat="1" applyFont="1" applyFill="1" applyBorder="1"/>
    <xf numFmtId="173" fontId="54" fillId="0" borderId="10" xfId="4" applyNumberFormat="1" applyFont="1" applyFill="1" applyBorder="1"/>
    <xf numFmtId="173" fontId="54" fillId="0" borderId="20" xfId="4" applyNumberFormat="1" applyFont="1" applyFill="1" applyBorder="1"/>
    <xf numFmtId="173" fontId="90" fillId="0" borderId="11" xfId="4" applyNumberFormat="1" applyFont="1" applyFill="1" applyBorder="1" applyAlignment="1">
      <alignment horizontal="right" wrapText="1"/>
    </xf>
    <xf numFmtId="173" fontId="90" fillId="0" borderId="12" xfId="4" applyNumberFormat="1" applyFont="1" applyFill="1" applyBorder="1" applyAlignment="1">
      <alignment horizontal="right" wrapText="1"/>
    </xf>
    <xf numFmtId="173" fontId="90" fillId="0" borderId="22" xfId="4" applyNumberFormat="1" applyFont="1" applyFill="1" applyBorder="1" applyAlignment="1">
      <alignment horizontal="right" wrapText="1"/>
    </xf>
    <xf numFmtId="173" fontId="111" fillId="0" borderId="10" xfId="0" applyNumberFormat="1" applyFont="1" applyFill="1" applyBorder="1"/>
    <xf numFmtId="173" fontId="111" fillId="0" borderId="20" xfId="0" applyNumberFormat="1" applyFont="1" applyFill="1" applyBorder="1"/>
    <xf numFmtId="3" fontId="90" fillId="0" borderId="91" xfId="4" applyNumberFormat="1" applyFont="1" applyFill="1" applyBorder="1" applyAlignment="1">
      <alignment horizontal="center" vertical="center" wrapText="1"/>
    </xf>
    <xf numFmtId="173" fontId="90" fillId="0" borderId="91" xfId="4" applyNumberFormat="1" applyFont="1" applyFill="1" applyBorder="1" applyAlignment="1">
      <alignment horizontal="right" wrapText="1"/>
    </xf>
    <xf numFmtId="173" fontId="82" fillId="0" borderId="91" xfId="4" applyNumberFormat="1" applyFont="1" applyFill="1" applyBorder="1"/>
    <xf numFmtId="173" fontId="54" fillId="0" borderId="91" xfId="4" applyNumberFormat="1" applyFont="1" applyFill="1" applyBorder="1"/>
    <xf numFmtId="173" fontId="90" fillId="0" borderId="92" xfId="4" applyNumberFormat="1" applyFont="1" applyFill="1" applyBorder="1" applyAlignment="1">
      <alignment horizontal="right" wrapText="1"/>
    </xf>
    <xf numFmtId="10" fontId="82" fillId="0" borderId="20" xfId="13" applyNumberFormat="1" applyFont="1" applyFill="1" applyBorder="1"/>
    <xf numFmtId="173" fontId="90" fillId="0" borderId="87" xfId="4" applyNumberFormat="1" applyFont="1" applyFill="1" applyBorder="1" applyAlignment="1">
      <alignment horizontal="right" wrapText="1"/>
    </xf>
    <xf numFmtId="10" fontId="82" fillId="0" borderId="22" xfId="13" applyNumberFormat="1" applyFont="1" applyFill="1" applyBorder="1"/>
    <xf numFmtId="170" fontId="90" fillId="0" borderId="3" xfId="4" applyNumberFormat="1" applyFont="1" applyFill="1" applyBorder="1" applyAlignment="1">
      <alignment horizontal="center" vertical="center" wrapText="1"/>
    </xf>
    <xf numFmtId="0" fontId="90" fillId="0" borderId="3" xfId="0" applyFont="1" applyFill="1" applyBorder="1" applyAlignment="1">
      <alignment horizontal="left" wrapText="1"/>
    </xf>
    <xf numFmtId="173" fontId="90" fillId="0" borderId="3" xfId="4" applyNumberFormat="1" applyFont="1" applyFill="1" applyBorder="1" applyAlignment="1">
      <alignment wrapText="1"/>
    </xf>
    <xf numFmtId="173" fontId="44" fillId="0" borderId="3" xfId="4" applyNumberFormat="1" applyFont="1" applyFill="1" applyBorder="1" applyAlignment="1">
      <alignment vertical="center" wrapText="1"/>
    </xf>
    <xf numFmtId="173" fontId="54" fillId="0" borderId="3" xfId="4" applyNumberFormat="1" applyFont="1" applyFill="1" applyBorder="1" applyAlignment="1"/>
    <xf numFmtId="173" fontId="54" fillId="0" borderId="3" xfId="0" applyNumberFormat="1" applyFont="1" applyFill="1" applyBorder="1"/>
    <xf numFmtId="173" fontId="82" fillId="0" borderId="3" xfId="0" applyNumberFormat="1" applyFont="1" applyFill="1" applyBorder="1" applyAlignment="1"/>
    <xf numFmtId="173" fontId="114" fillId="0" borderId="3" xfId="0" applyNumberFormat="1" applyFont="1" applyFill="1" applyBorder="1"/>
    <xf numFmtId="0" fontId="114" fillId="0" borderId="0" xfId="0" applyFont="1" applyFill="1"/>
    <xf numFmtId="173" fontId="54" fillId="0" borderId="3" xfId="0" applyNumberFormat="1" applyFont="1" applyFill="1" applyBorder="1" applyAlignment="1"/>
    <xf numFmtId="173" fontId="90" fillId="0" borderId="32" xfId="4" applyNumberFormat="1" applyFont="1" applyFill="1" applyBorder="1" applyAlignment="1">
      <alignment horizontal="right" wrapText="1"/>
    </xf>
    <xf numFmtId="173" fontId="89" fillId="0" borderId="32" xfId="4" applyNumberFormat="1" applyFont="1" applyFill="1" applyBorder="1" applyAlignment="1">
      <alignment horizontal="right" wrapText="1"/>
    </xf>
    <xf numFmtId="173" fontId="89" fillId="0" borderId="3" xfId="4" applyNumberFormat="1" applyFont="1" applyFill="1" applyBorder="1" applyAlignment="1">
      <alignment vertical="center" wrapText="1"/>
    </xf>
    <xf numFmtId="173" fontId="90" fillId="0" borderId="1" xfId="4" applyNumberFormat="1" applyFont="1" applyFill="1" applyBorder="1" applyAlignment="1">
      <alignment vertical="center" wrapText="1"/>
    </xf>
    <xf numFmtId="173" fontId="90" fillId="0" borderId="1" xfId="4" applyNumberFormat="1" applyFont="1" applyFill="1" applyBorder="1" applyAlignment="1">
      <alignment horizontal="right" wrapText="1"/>
    </xf>
    <xf numFmtId="173" fontId="82" fillId="0" borderId="1" xfId="4" applyNumberFormat="1" applyFont="1" applyFill="1" applyBorder="1"/>
    <xf numFmtId="173" fontId="54" fillId="0" borderId="1" xfId="4" applyNumberFormat="1" applyFont="1" applyFill="1" applyBorder="1"/>
    <xf numFmtId="173" fontId="54" fillId="0" borderId="1" xfId="4" applyNumberFormat="1" applyFont="1" applyFill="1" applyBorder="1" applyAlignment="1"/>
    <xf numFmtId="173" fontId="114" fillId="0" borderId="1" xfId="0" applyNumberFormat="1" applyFont="1" applyFill="1" applyBorder="1"/>
    <xf numFmtId="173" fontId="54" fillId="0" borderId="15" xfId="4" applyNumberFormat="1" applyFont="1" applyFill="1" applyBorder="1" applyAlignment="1"/>
    <xf numFmtId="173" fontId="114" fillId="0" borderId="15" xfId="0" applyNumberFormat="1" applyFont="1" applyFill="1" applyBorder="1"/>
    <xf numFmtId="173" fontId="90" fillId="0" borderId="10" xfId="4" applyNumberFormat="1" applyFont="1" applyFill="1" applyBorder="1" applyAlignment="1">
      <alignment vertical="center" wrapText="1"/>
    </xf>
    <xf numFmtId="173" fontId="90" fillId="0" borderId="20" xfId="4" applyNumberFormat="1" applyFont="1" applyFill="1" applyBorder="1" applyAlignment="1">
      <alignment vertical="center" wrapText="1"/>
    </xf>
    <xf numFmtId="173" fontId="54" fillId="0" borderId="10" xfId="4" applyNumberFormat="1" applyFont="1" applyFill="1" applyBorder="1" applyAlignment="1"/>
    <xf numFmtId="173" fontId="54" fillId="0" borderId="20" xfId="4" applyNumberFormat="1" applyFont="1" applyFill="1" applyBorder="1" applyAlignment="1"/>
    <xf numFmtId="173" fontId="114" fillId="0" borderId="11" xfId="0" applyNumberFormat="1" applyFont="1" applyFill="1" applyBorder="1"/>
    <xf numFmtId="173" fontId="89" fillId="0" borderId="12" xfId="4" applyNumberFormat="1" applyFont="1" applyFill="1" applyBorder="1" applyAlignment="1">
      <alignment vertical="center" wrapText="1"/>
    </xf>
    <xf numFmtId="173" fontId="114" fillId="0" borderId="22" xfId="0" applyNumberFormat="1" applyFont="1" applyFill="1" applyBorder="1"/>
    <xf numFmtId="173" fontId="54" fillId="0" borderId="10" xfId="0" applyNumberFormat="1" applyFont="1" applyFill="1" applyBorder="1"/>
    <xf numFmtId="173" fontId="114" fillId="0" borderId="12" xfId="0" applyNumberFormat="1" applyFont="1" applyFill="1" applyBorder="1"/>
    <xf numFmtId="173" fontId="54" fillId="0" borderId="91" xfId="4" applyNumberFormat="1" applyFont="1" applyFill="1" applyBorder="1" applyAlignment="1"/>
    <xf numFmtId="173" fontId="114" fillId="0" borderId="92" xfId="0" applyNumberFormat="1" applyFont="1" applyFill="1" applyBorder="1"/>
    <xf numFmtId="173" fontId="90" fillId="0" borderId="17" xfId="4" applyNumberFormat="1" applyFont="1" applyFill="1" applyBorder="1" applyAlignment="1">
      <alignment vertical="center" wrapText="1"/>
    </xf>
    <xf numFmtId="173" fontId="90" fillId="0" borderId="35" xfId="4" applyNumberFormat="1" applyFont="1" applyFill="1" applyBorder="1" applyAlignment="1">
      <alignment vertical="center" wrapText="1"/>
    </xf>
    <xf numFmtId="173" fontId="90" fillId="0" borderId="74" xfId="4" applyNumberFormat="1" applyFont="1" applyFill="1" applyBorder="1" applyAlignment="1">
      <alignment vertical="center" wrapText="1"/>
    </xf>
    <xf numFmtId="173" fontId="90" fillId="0" borderId="82" xfId="4" applyNumberFormat="1" applyFont="1" applyFill="1" applyBorder="1" applyAlignment="1">
      <alignment vertical="center" wrapText="1"/>
    </xf>
    <xf numFmtId="173" fontId="54" fillId="0" borderId="74" xfId="0" applyNumberFormat="1" applyFont="1" applyFill="1" applyBorder="1"/>
    <xf numFmtId="173" fontId="54" fillId="0" borderId="17" xfId="0" applyNumberFormat="1" applyFont="1" applyFill="1" applyBorder="1"/>
    <xf numFmtId="173" fontId="90" fillId="0" borderId="82" xfId="4" applyNumberFormat="1" applyFont="1" applyFill="1" applyBorder="1" applyAlignment="1">
      <alignment horizontal="right" wrapText="1"/>
    </xf>
    <xf numFmtId="173" fontId="90" fillId="0" borderId="93" xfId="4" applyNumberFormat="1" applyFont="1" applyFill="1" applyBorder="1" applyAlignment="1">
      <alignment horizontal="right" wrapText="1"/>
    </xf>
    <xf numFmtId="173" fontId="90" fillId="0" borderId="30" xfId="4" applyNumberFormat="1" applyFont="1" applyFill="1" applyBorder="1" applyAlignment="1">
      <alignment horizontal="right" wrapText="1"/>
    </xf>
    <xf numFmtId="170" fontId="90" fillId="0" borderId="69" xfId="4" applyNumberFormat="1" applyFont="1" applyFill="1" applyBorder="1" applyAlignment="1">
      <alignment horizontal="center" vertical="center" wrapText="1"/>
    </xf>
    <xf numFmtId="170" fontId="90" fillId="0" borderId="70" xfId="4" applyNumberFormat="1" applyFont="1" applyFill="1" applyBorder="1" applyAlignment="1">
      <alignment horizontal="center" vertical="center" wrapText="1"/>
    </xf>
    <xf numFmtId="170" fontId="90" fillId="0" borderId="71" xfId="4" applyNumberFormat="1" applyFont="1" applyFill="1" applyBorder="1" applyAlignment="1">
      <alignment horizontal="center" vertical="center" wrapText="1"/>
    </xf>
    <xf numFmtId="170" fontId="90" fillId="0" borderId="69" xfId="4" applyNumberFormat="1" applyFont="1" applyFill="1" applyBorder="1" applyAlignment="1">
      <alignment vertical="center" wrapText="1"/>
    </xf>
    <xf numFmtId="170" fontId="90" fillId="0" borderId="70" xfId="4" applyNumberFormat="1" applyFont="1" applyFill="1" applyBorder="1" applyAlignment="1">
      <alignment vertical="center" wrapText="1"/>
    </xf>
    <xf numFmtId="170" fontId="90" fillId="0" borderId="83" xfId="4" applyNumberFormat="1" applyFont="1" applyFill="1" applyBorder="1" applyAlignment="1">
      <alignment vertical="center" wrapText="1"/>
    </xf>
    <xf numFmtId="170" fontId="90" fillId="0" borderId="83" xfId="4" applyNumberFormat="1" applyFont="1" applyFill="1" applyBorder="1" applyAlignment="1">
      <alignment horizontal="center" vertical="center" wrapText="1"/>
    </xf>
    <xf numFmtId="170" fontId="90" fillId="0" borderId="98" xfId="4" applyNumberFormat="1" applyFont="1" applyFill="1" applyBorder="1" applyAlignment="1">
      <alignment horizontal="center" vertical="center" wrapText="1"/>
    </xf>
    <xf numFmtId="170" fontId="90" fillId="0" borderId="100" xfId="4" applyNumberFormat="1" applyFont="1" applyFill="1" applyBorder="1" applyAlignment="1">
      <alignment horizontal="center" vertical="center" wrapText="1"/>
    </xf>
    <xf numFmtId="173" fontId="90" fillId="0" borderId="76" xfId="4" applyNumberFormat="1" applyFont="1" applyFill="1" applyBorder="1" applyAlignment="1">
      <alignment vertical="center" wrapText="1"/>
    </xf>
    <xf numFmtId="173" fontId="90" fillId="0" borderId="15" xfId="4" applyNumberFormat="1" applyFont="1" applyFill="1" applyBorder="1" applyAlignment="1">
      <alignment vertical="center" wrapText="1"/>
    </xf>
    <xf numFmtId="0" fontId="90" fillId="0" borderId="27" xfId="0" applyFont="1" applyFill="1" applyBorder="1" applyAlignment="1">
      <alignment horizontal="left" vertical="top" wrapText="1"/>
    </xf>
    <xf numFmtId="0" fontId="54" fillId="0" borderId="27" xfId="0" applyFont="1" applyFill="1" applyBorder="1" applyAlignment="1">
      <alignment horizontal="right"/>
    </xf>
    <xf numFmtId="0" fontId="44" fillId="0" borderId="27" xfId="0" applyFont="1" applyFill="1" applyBorder="1" applyAlignment="1">
      <alignment horizontal="right" vertical="top" wrapText="1"/>
    </xf>
    <xf numFmtId="0" fontId="82" fillId="0" borderId="27" xfId="0" applyFont="1" applyFill="1" applyBorder="1" applyAlignment="1">
      <alignment horizontal="right"/>
    </xf>
    <xf numFmtId="0" fontId="90" fillId="0" borderId="27" xfId="0" applyFont="1" applyFill="1" applyBorder="1" applyAlignment="1">
      <alignment horizontal="left" wrapText="1"/>
    </xf>
    <xf numFmtId="0" fontId="44" fillId="0" borderId="27" xfId="0" applyFont="1" applyFill="1" applyBorder="1" applyAlignment="1">
      <alignment vertical="top" wrapText="1"/>
    </xf>
    <xf numFmtId="0" fontId="44" fillId="0" borderId="27" xfId="0" applyFont="1" applyFill="1" applyBorder="1" applyAlignment="1">
      <alignment wrapText="1"/>
    </xf>
    <xf numFmtId="0" fontId="44" fillId="0" borderId="27" xfId="0" applyFont="1" applyFill="1" applyBorder="1" applyAlignment="1">
      <alignment horizontal="left" vertical="top" wrapText="1"/>
    </xf>
    <xf numFmtId="170" fontId="90" fillId="0" borderId="101" xfId="4" applyNumberFormat="1" applyFont="1" applyFill="1" applyBorder="1" applyAlignment="1">
      <alignment horizontal="center" vertical="center" wrapText="1"/>
    </xf>
    <xf numFmtId="170" fontId="90" fillId="0" borderId="72" xfId="4" applyNumberFormat="1" applyFont="1" applyFill="1" applyBorder="1" applyAlignment="1">
      <alignment horizontal="center" vertical="center" wrapText="1"/>
    </xf>
    <xf numFmtId="170" fontId="90" fillId="0" borderId="89" xfId="4" applyNumberFormat="1" applyFont="1" applyFill="1" applyBorder="1" applyAlignment="1">
      <alignment horizontal="center" vertical="center" wrapText="1"/>
    </xf>
    <xf numFmtId="173" fontId="90" fillId="0" borderId="107" xfId="4" applyNumberFormat="1" applyFont="1" applyFill="1" applyBorder="1" applyAlignment="1">
      <alignment horizontal="right" wrapText="1"/>
    </xf>
    <xf numFmtId="173" fontId="90" fillId="0" borderId="108" xfId="4" applyNumberFormat="1" applyFont="1" applyFill="1" applyBorder="1" applyAlignment="1">
      <alignment horizontal="right" wrapText="1"/>
    </xf>
    <xf numFmtId="173" fontId="89" fillId="0" borderId="108" xfId="4" applyNumberFormat="1" applyFont="1" applyFill="1" applyBorder="1" applyAlignment="1">
      <alignment horizontal="right" wrapText="1"/>
    </xf>
    <xf numFmtId="170" fontId="44" fillId="0" borderId="3" xfId="4" applyNumberFormat="1" applyFont="1" applyFill="1" applyBorder="1" applyAlignment="1">
      <alignment horizontal="right" wrapText="1"/>
    </xf>
    <xf numFmtId="170" fontId="54" fillId="0" borderId="0" xfId="0" applyNumberFormat="1" applyFont="1" applyFill="1"/>
    <xf numFmtId="10" fontId="82" fillId="0" borderId="3" xfId="13" applyNumberFormat="1" applyFont="1" applyFill="1" applyBorder="1" applyAlignment="1"/>
    <xf numFmtId="173" fontId="90" fillId="0" borderId="3" xfId="4" applyNumberFormat="1" applyFont="1" applyFill="1" applyBorder="1" applyAlignment="1"/>
    <xf numFmtId="173" fontId="37" fillId="0" borderId="3" xfId="4" applyNumberFormat="1" applyFont="1" applyFill="1" applyBorder="1" applyAlignment="1">
      <alignment horizontal="right" vertical="center" wrapText="1"/>
    </xf>
    <xf numFmtId="173" fontId="37" fillId="0" borderId="3" xfId="4" applyNumberFormat="1" applyFont="1" applyFill="1" applyBorder="1" applyAlignment="1">
      <alignment horizontal="right" wrapText="1"/>
    </xf>
    <xf numFmtId="173" fontId="38" fillId="0" borderId="3" xfId="4" applyNumberFormat="1" applyFont="1" applyFill="1" applyBorder="1" applyAlignment="1">
      <alignment horizontal="right"/>
    </xf>
    <xf numFmtId="0" fontId="37" fillId="0" borderId="10" xfId="0" applyFont="1" applyFill="1" applyBorder="1" applyAlignment="1">
      <alignment horizontal="right" wrapText="1"/>
    </xf>
    <xf numFmtId="0" fontId="37" fillId="0" borderId="10" xfId="0" applyFont="1" applyFill="1" applyBorder="1" applyAlignment="1">
      <alignment horizontal="left" wrapText="1"/>
    </xf>
    <xf numFmtId="0" fontId="37" fillId="0" borderId="74" xfId="0" applyFont="1" applyFill="1" applyBorder="1" applyAlignment="1">
      <alignment horizontal="left" vertical="top" wrapText="1"/>
    </xf>
    <xf numFmtId="0" fontId="38" fillId="0" borderId="20" xfId="0" applyFont="1" applyFill="1" applyBorder="1"/>
    <xf numFmtId="0" fontId="38" fillId="0" borderId="81" xfId="0" applyFont="1" applyFill="1" applyBorder="1"/>
    <xf numFmtId="0" fontId="38" fillId="0" borderId="82" xfId="0" applyFont="1" applyFill="1" applyBorder="1" applyAlignment="1">
      <alignment horizontal="right"/>
    </xf>
    <xf numFmtId="0" fontId="38" fillId="0" borderId="20" xfId="0" applyFont="1" applyFill="1" applyBorder="1" applyAlignment="1">
      <alignment horizontal="right"/>
    </xf>
    <xf numFmtId="0" fontId="37" fillId="0" borderId="20" xfId="0" applyFont="1" applyFill="1" applyBorder="1" applyAlignment="1">
      <alignment vertical="top" wrapText="1"/>
    </xf>
    <xf numFmtId="0" fontId="37" fillId="0" borderId="20" xfId="0" applyFont="1" applyFill="1" applyBorder="1" applyAlignment="1">
      <alignment wrapText="1"/>
    </xf>
    <xf numFmtId="0" fontId="37" fillId="0" borderId="14" xfId="0" applyFont="1" applyFill="1" applyBorder="1" applyAlignment="1">
      <alignment wrapText="1"/>
    </xf>
    <xf numFmtId="0" fontId="38" fillId="0" borderId="22" xfId="0" applyFont="1" applyFill="1" applyBorder="1" applyAlignment="1">
      <alignment horizontal="right"/>
    </xf>
    <xf numFmtId="173" fontId="37" fillId="0" borderId="10" xfId="4" applyNumberFormat="1" applyFont="1" applyFill="1" applyBorder="1" applyAlignment="1">
      <alignment horizontal="right" vertical="center" wrapText="1"/>
    </xf>
    <xf numFmtId="173" fontId="37" fillId="0" borderId="20" xfId="4" applyNumberFormat="1" applyFont="1" applyFill="1" applyBorder="1" applyAlignment="1">
      <alignment horizontal="right" vertical="center" wrapText="1"/>
    </xf>
    <xf numFmtId="173" fontId="37" fillId="0" borderId="10" xfId="4" applyNumberFormat="1" applyFont="1" applyFill="1" applyBorder="1" applyAlignment="1">
      <alignment horizontal="right" wrapText="1"/>
    </xf>
    <xf numFmtId="173" fontId="37" fillId="0" borderId="20" xfId="4" applyNumberFormat="1" applyFont="1" applyFill="1" applyBorder="1" applyAlignment="1">
      <alignment horizontal="right" wrapText="1"/>
    </xf>
    <xf numFmtId="173" fontId="38" fillId="0" borderId="10" xfId="4" applyNumberFormat="1" applyFont="1" applyFill="1" applyBorder="1" applyAlignment="1">
      <alignment horizontal="right"/>
    </xf>
    <xf numFmtId="173" fontId="38" fillId="0" borderId="20" xfId="4" applyNumberFormat="1" applyFont="1" applyFill="1" applyBorder="1" applyAlignment="1">
      <alignment horizontal="right"/>
    </xf>
    <xf numFmtId="173" fontId="38" fillId="0" borderId="11" xfId="0" applyNumberFormat="1" applyFont="1" applyFill="1" applyBorder="1" applyAlignment="1">
      <alignment horizontal="right"/>
    </xf>
    <xf numFmtId="173" fontId="37" fillId="0" borderId="12" xfId="4" applyNumberFormat="1" applyFont="1" applyFill="1" applyBorder="1" applyAlignment="1">
      <alignment horizontal="right" vertical="center" wrapText="1"/>
    </xf>
    <xf numFmtId="173" fontId="38" fillId="0" borderId="22" xfId="0" applyNumberFormat="1" applyFont="1" applyFill="1" applyBorder="1" applyAlignment="1">
      <alignment horizontal="right"/>
    </xf>
    <xf numFmtId="3" fontId="37" fillId="0" borderId="10" xfId="4" applyNumberFormat="1" applyFont="1" applyFill="1" applyBorder="1" applyAlignment="1">
      <alignment horizontal="right" vertical="center" wrapText="1"/>
    </xf>
    <xf numFmtId="3" fontId="37" fillId="0" borderId="20" xfId="4" applyNumberFormat="1" applyFont="1" applyFill="1" applyBorder="1" applyAlignment="1">
      <alignment horizontal="right" vertical="center" wrapText="1"/>
    </xf>
    <xf numFmtId="3" fontId="37" fillId="0" borderId="10" xfId="4" applyNumberFormat="1" applyFont="1" applyFill="1" applyBorder="1" applyAlignment="1">
      <alignment horizontal="right" wrapText="1"/>
    </xf>
    <xf numFmtId="3" fontId="37" fillId="0" borderId="20" xfId="4" applyNumberFormat="1" applyFont="1" applyFill="1" applyBorder="1" applyAlignment="1">
      <alignment horizontal="right" wrapText="1"/>
    </xf>
    <xf numFmtId="3" fontId="38" fillId="0" borderId="10" xfId="4" applyNumberFormat="1" applyFont="1" applyFill="1" applyBorder="1" applyAlignment="1">
      <alignment horizontal="right"/>
    </xf>
    <xf numFmtId="3" fontId="38" fillId="0" borderId="20" xfId="4" applyNumberFormat="1" applyFont="1" applyFill="1" applyBorder="1" applyAlignment="1">
      <alignment horizontal="right"/>
    </xf>
    <xf numFmtId="3" fontId="38" fillId="0" borderId="11" xfId="0" applyNumberFormat="1" applyFont="1" applyFill="1" applyBorder="1" applyAlignment="1">
      <alignment horizontal="right"/>
    </xf>
    <xf numFmtId="3" fontId="37" fillId="0" borderId="12" xfId="4" applyNumberFormat="1" applyFont="1" applyFill="1" applyBorder="1" applyAlignment="1">
      <alignment horizontal="right" vertical="center" wrapText="1"/>
    </xf>
    <xf numFmtId="3" fontId="38" fillId="0" borderId="22" xfId="0" applyNumberFormat="1" applyFont="1" applyFill="1" applyBorder="1" applyAlignment="1">
      <alignment horizontal="right"/>
    </xf>
    <xf numFmtId="173" fontId="37" fillId="0" borderId="10" xfId="4" applyNumberFormat="1" applyFont="1" applyFill="1" applyBorder="1" applyAlignment="1">
      <alignment horizontal="right"/>
    </xf>
    <xf numFmtId="173" fontId="81" fillId="0" borderId="20" xfId="4" applyNumberFormat="1" applyFont="1" applyFill="1" applyBorder="1" applyAlignment="1">
      <alignment horizontal="right"/>
    </xf>
    <xf numFmtId="10" fontId="50" fillId="0" borderId="20" xfId="13" applyNumberFormat="1" applyFont="1" applyFill="1" applyBorder="1"/>
    <xf numFmtId="10" fontId="50" fillId="0" borderId="20" xfId="13" applyNumberFormat="1" applyFont="1" applyFill="1" applyBorder="1" applyAlignment="1"/>
    <xf numFmtId="10" fontId="50" fillId="0" borderId="22" xfId="13" applyNumberFormat="1" applyFont="1" applyFill="1" applyBorder="1"/>
    <xf numFmtId="173" fontId="37" fillId="0" borderId="74" xfId="4" applyNumberFormat="1" applyFont="1" applyFill="1" applyBorder="1" applyAlignment="1">
      <alignment horizontal="right" vertical="center" wrapText="1"/>
    </xf>
    <xf numFmtId="173" fontId="37" fillId="0" borderId="17" xfId="4" applyNumberFormat="1" applyFont="1" applyFill="1" applyBorder="1" applyAlignment="1">
      <alignment horizontal="right" vertical="center" wrapText="1"/>
    </xf>
    <xf numFmtId="173" fontId="37" fillId="0" borderId="82" xfId="4" applyNumberFormat="1" applyFont="1" applyFill="1" applyBorder="1" applyAlignment="1">
      <alignment horizontal="right" vertical="center" wrapText="1"/>
    </xf>
    <xf numFmtId="3" fontId="37" fillId="0" borderId="74" xfId="4" applyNumberFormat="1" applyFont="1" applyFill="1" applyBorder="1" applyAlignment="1">
      <alignment horizontal="right" vertical="center" wrapText="1"/>
    </xf>
    <xf numFmtId="3" fontId="37" fillId="0" borderId="17" xfId="4" applyNumberFormat="1" applyFont="1" applyFill="1" applyBorder="1" applyAlignment="1">
      <alignment horizontal="right" vertical="center" wrapText="1"/>
    </xf>
    <xf numFmtId="3" fontId="37" fillId="0" borderId="82" xfId="4" applyNumberFormat="1" applyFont="1" applyFill="1" applyBorder="1" applyAlignment="1">
      <alignment horizontal="right" vertical="center" wrapText="1"/>
    </xf>
    <xf numFmtId="10" fontId="50" fillId="0" borderId="82" xfId="13" applyNumberFormat="1" applyFont="1" applyFill="1" applyBorder="1"/>
    <xf numFmtId="3" fontId="37" fillId="0" borderId="69" xfId="4" applyNumberFormat="1" applyFont="1" applyFill="1" applyBorder="1" applyAlignment="1">
      <alignment horizontal="center" vertical="center" wrapText="1"/>
    </xf>
    <xf numFmtId="3" fontId="37" fillId="0" borderId="70" xfId="4" applyNumberFormat="1" applyFont="1" applyFill="1" applyBorder="1" applyAlignment="1">
      <alignment horizontal="center" vertical="center" wrapText="1"/>
    </xf>
    <xf numFmtId="3" fontId="37" fillId="0" borderId="83" xfId="4" applyNumberFormat="1" applyFont="1" applyFill="1" applyBorder="1" applyAlignment="1">
      <alignment horizontal="center" vertical="center" wrapText="1"/>
    </xf>
    <xf numFmtId="3" fontId="38" fillId="0" borderId="69" xfId="4" applyNumberFormat="1" applyFont="1" applyFill="1" applyBorder="1" applyAlignment="1">
      <alignment horizontal="center" vertical="center" wrapText="1"/>
    </xf>
    <xf numFmtId="168" fontId="50" fillId="0" borderId="0" xfId="2" applyNumberFormat="1" applyFont="1" applyFill="1"/>
    <xf numFmtId="49" fontId="70" fillId="0" borderId="0" xfId="0" applyNumberFormat="1" applyFont="1" applyFill="1" applyAlignment="1">
      <alignment horizontal="left" vertical="center" wrapText="1"/>
    </xf>
    <xf numFmtId="168" fontId="51" fillId="0" borderId="3" xfId="2" applyNumberFormat="1" applyFont="1" applyFill="1" applyBorder="1" applyAlignment="1">
      <alignment horizontal="center" vertical="center" wrapText="1"/>
    </xf>
    <xf numFmtId="49" fontId="50" fillId="0" borderId="3" xfId="0" applyNumberFormat="1" applyFont="1" applyFill="1" applyBorder="1" applyAlignment="1">
      <alignment horizontal="left"/>
    </xf>
    <xf numFmtId="0" fontId="50" fillId="0" borderId="0" xfId="0" applyFont="1" applyFill="1" applyAlignment="1">
      <alignment horizontal="right"/>
    </xf>
    <xf numFmtId="0" fontId="70" fillId="0" borderId="63" xfId="0" applyFont="1" applyFill="1" applyBorder="1" applyAlignment="1">
      <alignment wrapText="1"/>
    </xf>
    <xf numFmtId="0" fontId="70" fillId="0" borderId="39" xfId="0" applyFont="1" applyFill="1" applyBorder="1"/>
    <xf numFmtId="0" fontId="51" fillId="0" borderId="0" xfId="0" applyFont="1" applyFill="1" applyBorder="1" applyAlignment="1">
      <alignment horizontal="center"/>
    </xf>
    <xf numFmtId="49" fontId="51" fillId="0" borderId="3" xfId="0" applyNumberFormat="1" applyFont="1" applyFill="1" applyBorder="1" applyAlignment="1">
      <alignment horizontal="right"/>
    </xf>
    <xf numFmtId="49" fontId="86" fillId="0" borderId="3" xfId="0" applyNumberFormat="1" applyFont="1" applyFill="1" applyBorder="1" applyAlignment="1">
      <alignment horizontal="left"/>
    </xf>
    <xf numFmtId="168" fontId="70" fillId="0" borderId="3" xfId="2" applyNumberFormat="1" applyFont="1" applyFill="1" applyBorder="1"/>
    <xf numFmtId="0" fontId="86" fillId="0" borderId="3" xfId="0" applyFont="1" applyFill="1" applyBorder="1" applyAlignment="1">
      <alignment horizontal="left" wrapText="1"/>
    </xf>
    <xf numFmtId="168" fontId="71" fillId="0" borderId="3" xfId="2" applyNumberFormat="1" applyFont="1" applyFill="1" applyBorder="1"/>
    <xf numFmtId="0" fontId="86" fillId="0" borderId="3" xfId="0" applyFont="1" applyFill="1" applyBorder="1" applyAlignment="1">
      <alignment wrapText="1"/>
    </xf>
    <xf numFmtId="168" fontId="88" fillId="0" borderId="3" xfId="2" applyNumberFormat="1" applyFont="1" applyFill="1" applyBorder="1" applyAlignment="1">
      <alignment horizontal="right" wrapText="1"/>
    </xf>
    <xf numFmtId="0" fontId="50" fillId="0" borderId="0" xfId="0" applyFont="1"/>
    <xf numFmtId="0" fontId="50" fillId="0" borderId="0" xfId="0" applyFont="1" applyAlignment="1">
      <alignment horizontal="left"/>
    </xf>
    <xf numFmtId="0" fontId="50" fillId="0" borderId="43" xfId="0" applyFont="1" applyBorder="1" applyAlignment="1"/>
    <xf numFmtId="0" fontId="50" fillId="0" borderId="47" xfId="0" applyFont="1" applyBorder="1" applyAlignment="1"/>
    <xf numFmtId="165" fontId="50" fillId="0" borderId="17" xfId="11" applyFont="1" applyBorder="1"/>
    <xf numFmtId="165" fontId="50" fillId="0" borderId="17" xfId="11" applyNumberFormat="1" applyFont="1" applyBorder="1"/>
    <xf numFmtId="172" fontId="50" fillId="0" borderId="109" xfId="11" applyNumberFormat="1" applyFont="1" applyBorder="1" applyAlignment="1">
      <alignment horizontal="center" vertical="center"/>
    </xf>
    <xf numFmtId="165" fontId="50" fillId="0" borderId="3" xfId="11" applyFont="1" applyBorder="1"/>
    <xf numFmtId="165" fontId="50" fillId="0" borderId="3" xfId="11" applyNumberFormat="1" applyFont="1" applyBorder="1"/>
    <xf numFmtId="172" fontId="50" fillId="0" borderId="48" xfId="11" applyNumberFormat="1" applyFont="1" applyBorder="1" applyAlignment="1">
      <alignment horizontal="center" vertical="center"/>
    </xf>
    <xf numFmtId="165" fontId="50" fillId="0" borderId="12" xfId="11" applyFont="1" applyBorder="1"/>
    <xf numFmtId="165" fontId="50" fillId="0" borderId="12" xfId="11" applyNumberFormat="1" applyFont="1" applyBorder="1"/>
    <xf numFmtId="165" fontId="50" fillId="0" borderId="110" xfId="11" applyNumberFormat="1" applyFont="1" applyBorder="1"/>
    <xf numFmtId="0" fontId="50" fillId="0" borderId="8" xfId="0" applyFont="1" applyBorder="1" applyAlignment="1">
      <alignment horizontal="center" vertical="center" wrapText="1"/>
    </xf>
    <xf numFmtId="0" fontId="50" fillId="0" borderId="3" xfId="0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 wrapText="1"/>
    </xf>
    <xf numFmtId="165" fontId="50" fillId="0" borderId="8" xfId="11" applyFont="1" applyBorder="1"/>
    <xf numFmtId="165" fontId="50" fillId="0" borderId="8" xfId="11" applyNumberFormat="1" applyFont="1" applyBorder="1"/>
    <xf numFmtId="172" fontId="50" fillId="0" borderId="110" xfId="11" applyNumberFormat="1" applyFont="1" applyBorder="1" applyAlignment="1">
      <alignment horizontal="center" vertical="center"/>
    </xf>
    <xf numFmtId="165" fontId="50" fillId="0" borderId="4" xfId="11" applyFont="1" applyBorder="1"/>
    <xf numFmtId="165" fontId="50" fillId="0" borderId="4" xfId="11" applyNumberFormat="1" applyFont="1" applyBorder="1"/>
    <xf numFmtId="166" fontId="86" fillId="0" borderId="45" xfId="11" applyNumberFormat="1" applyFont="1" applyBorder="1" applyAlignment="1">
      <alignment horizontal="center" vertical="center"/>
    </xf>
    <xf numFmtId="16" fontId="86" fillId="0" borderId="50" xfId="0" applyNumberFormat="1" applyFont="1" applyBorder="1"/>
    <xf numFmtId="0" fontId="50" fillId="0" borderId="17" xfId="0" applyFont="1" applyBorder="1" applyAlignment="1">
      <alignment horizontal="center" vertical="center"/>
    </xf>
    <xf numFmtId="0" fontId="86" fillId="0" borderId="55" xfId="0" applyFont="1" applyBorder="1" applyAlignment="1">
      <alignment horizontal="right"/>
    </xf>
    <xf numFmtId="0" fontId="50" fillId="0" borderId="3" xfId="0" applyFont="1" applyBorder="1" applyAlignment="1">
      <alignment horizontal="center" vertical="center"/>
    </xf>
    <xf numFmtId="0" fontId="86" fillId="0" borderId="55" xfId="0" applyFont="1" applyBorder="1"/>
    <xf numFmtId="0" fontId="86" fillId="0" borderId="56" xfId="0" applyFont="1" applyBorder="1"/>
    <xf numFmtId="0" fontId="50" fillId="0" borderId="12" xfId="0" applyFont="1" applyBorder="1" applyAlignment="1">
      <alignment horizontal="center" vertical="center"/>
    </xf>
    <xf numFmtId="0" fontId="86" fillId="0" borderId="8" xfId="10" applyFont="1" applyBorder="1" applyAlignment="1">
      <alignment horizontal="center" vertical="center" wrapText="1"/>
    </xf>
    <xf numFmtId="165" fontId="86" fillId="0" borderId="8" xfId="11" applyFont="1" applyBorder="1" applyAlignment="1">
      <alignment vertical="center" wrapText="1"/>
    </xf>
    <xf numFmtId="165" fontId="86" fillId="0" borderId="8" xfId="11" applyNumberFormat="1" applyFont="1" applyBorder="1" applyAlignment="1">
      <alignment vertical="center" wrapText="1"/>
    </xf>
    <xf numFmtId="0" fontId="86" fillId="0" borderId="3" xfId="10" applyFont="1" applyBorder="1" applyAlignment="1">
      <alignment vertical="center" wrapText="1"/>
    </xf>
    <xf numFmtId="165" fontId="86" fillId="0" borderId="3" xfId="11" applyFont="1" applyBorder="1" applyAlignment="1">
      <alignment vertical="center" wrapText="1"/>
    </xf>
    <xf numFmtId="165" fontId="86" fillId="0" borderId="3" xfId="11" applyNumberFormat="1" applyFont="1" applyBorder="1" applyAlignment="1">
      <alignment vertical="center" wrapText="1"/>
    </xf>
    <xf numFmtId="166" fontId="86" fillId="0" borderId="48" xfId="11" applyNumberFormat="1" applyFont="1" applyBorder="1" applyAlignment="1">
      <alignment horizontal="center" vertical="center" wrapText="1"/>
    </xf>
    <xf numFmtId="0" fontId="86" fillId="0" borderId="12" xfId="10" applyFont="1" applyBorder="1" applyAlignment="1">
      <alignment vertical="center" wrapText="1"/>
    </xf>
    <xf numFmtId="165" fontId="86" fillId="0" borderId="12" xfId="11" applyFont="1" applyBorder="1" applyAlignment="1">
      <alignment vertical="center" wrapText="1"/>
    </xf>
    <xf numFmtId="165" fontId="86" fillId="0" borderId="12" xfId="11" applyNumberFormat="1" applyFont="1" applyBorder="1" applyAlignment="1">
      <alignment vertical="center" wrapText="1"/>
    </xf>
    <xf numFmtId="165" fontId="86" fillId="0" borderId="110" xfId="11" applyNumberFormat="1" applyFont="1" applyBorder="1" applyAlignment="1">
      <alignment vertical="center" wrapText="1"/>
    </xf>
    <xf numFmtId="0" fontId="50" fillId="0" borderId="8" xfId="0" applyFont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0" fontId="88" fillId="0" borderId="56" xfId="0" applyFont="1" applyBorder="1"/>
    <xf numFmtId="0" fontId="86" fillId="0" borderId="78" xfId="10" applyFont="1" applyBorder="1" applyAlignment="1">
      <alignment horizontal="center" vertical="center" wrapText="1"/>
    </xf>
    <xf numFmtId="0" fontId="88" fillId="0" borderId="15" xfId="10" applyFont="1" applyBorder="1" applyAlignment="1">
      <alignment vertical="center" wrapText="1"/>
    </xf>
    <xf numFmtId="0" fontId="88" fillId="0" borderId="87" xfId="10" applyFont="1" applyBorder="1" applyAlignment="1">
      <alignment vertical="center" wrapText="1"/>
    </xf>
    <xf numFmtId="16" fontId="86" fillId="0" borderId="111" xfId="0" applyNumberFormat="1" applyFont="1" applyBorder="1"/>
    <xf numFmtId="0" fontId="50" fillId="0" borderId="55" xfId="0" applyFont="1" applyBorder="1" applyAlignment="1"/>
    <xf numFmtId="0" fontId="50" fillId="0" borderId="56" xfId="0" applyFont="1" applyBorder="1" applyAlignment="1"/>
    <xf numFmtId="0" fontId="44" fillId="0" borderId="3" xfId="0" applyFont="1" applyFill="1" applyBorder="1" applyAlignment="1">
      <alignment horizontal="right" vertical="top" wrapText="1"/>
    </xf>
    <xf numFmtId="0" fontId="54" fillId="0" borderId="0" xfId="0" applyFont="1" applyFill="1" applyAlignment="1">
      <alignment horizontal="center"/>
    </xf>
    <xf numFmtId="0" fontId="44" fillId="0" borderId="1" xfId="0" applyFont="1" applyFill="1" applyBorder="1" applyAlignment="1">
      <alignment horizontal="left" vertical="center" wrapText="1"/>
    </xf>
    <xf numFmtId="0" fontId="54" fillId="0" borderId="3" xfId="0" applyFont="1" applyFill="1" applyBorder="1" applyAlignment="1">
      <alignment horizontal="center" vertical="center"/>
    </xf>
    <xf numFmtId="168" fontId="92" fillId="0" borderId="0" xfId="0" applyNumberFormat="1" applyFont="1" applyFill="1"/>
    <xf numFmtId="167" fontId="82" fillId="0" borderId="3" xfId="2" applyNumberFormat="1" applyFont="1" applyFill="1" applyBorder="1" applyAlignment="1">
      <alignment vertical="center"/>
    </xf>
    <xf numFmtId="10" fontId="82" fillId="0" borderId="3" xfId="13" applyNumberFormat="1" applyFont="1" applyFill="1" applyBorder="1" applyAlignment="1">
      <alignment vertical="center"/>
    </xf>
    <xf numFmtId="0" fontId="82" fillId="0" borderId="0" xfId="0" applyFont="1" applyFill="1" applyAlignment="1">
      <alignment vertical="center"/>
    </xf>
    <xf numFmtId="168" fontId="51" fillId="0" borderId="3" xfId="0" applyNumberFormat="1" applyFont="1" applyFill="1" applyBorder="1" applyAlignment="1">
      <alignment horizontal="center" vertical="center" wrapText="1"/>
    </xf>
    <xf numFmtId="9" fontId="51" fillId="0" borderId="3" xfId="13" applyFont="1" applyFill="1" applyBorder="1" applyAlignment="1">
      <alignment horizontal="center" vertical="center" wrapText="1"/>
    </xf>
    <xf numFmtId="168" fontId="82" fillId="0" borderId="0" xfId="0" applyNumberFormat="1" applyFont="1" applyFill="1"/>
    <xf numFmtId="49" fontId="82" fillId="0" borderId="3" xfId="0" applyNumberFormat="1" applyFont="1" applyFill="1" applyBorder="1" applyAlignment="1">
      <alignment horizontal="left"/>
    </xf>
    <xf numFmtId="167" fontId="90" fillId="0" borderId="3" xfId="2" applyNumberFormat="1" applyFont="1" applyFill="1" applyBorder="1" applyAlignment="1"/>
    <xf numFmtId="49" fontId="44" fillId="0" borderId="3" xfId="0" applyNumberFormat="1" applyFont="1" applyFill="1" applyBorder="1" applyAlignment="1">
      <alignment horizontal="left"/>
    </xf>
    <xf numFmtId="0" fontId="44" fillId="0" borderId="3" xfId="0" applyFont="1" applyFill="1" applyBorder="1" applyAlignment="1">
      <alignment horizontal="left" wrapText="1"/>
    </xf>
    <xf numFmtId="167" fontId="111" fillId="0" borderId="3" xfId="2" applyNumberFormat="1" applyFont="1" applyFill="1" applyBorder="1"/>
    <xf numFmtId="49" fontId="44" fillId="0" borderId="1" xfId="0" applyNumberFormat="1" applyFont="1" applyFill="1" applyBorder="1" applyAlignment="1">
      <alignment horizontal="left"/>
    </xf>
    <xf numFmtId="164" fontId="82" fillId="0" borderId="2" xfId="2" applyNumberFormat="1" applyFont="1" applyFill="1" applyBorder="1"/>
    <xf numFmtId="166" fontId="82" fillId="0" borderId="1" xfId="1" applyNumberFormat="1" applyFont="1" applyFill="1" applyBorder="1"/>
    <xf numFmtId="168" fontId="90" fillId="0" borderId="3" xfId="2" applyNumberFormat="1" applyFont="1" applyFill="1" applyBorder="1" applyAlignment="1"/>
    <xf numFmtId="0" fontId="82" fillId="0" borderId="3" xfId="0" applyFont="1" applyFill="1" applyBorder="1" applyAlignment="1">
      <alignment vertical="center" wrapText="1"/>
    </xf>
    <xf numFmtId="0" fontId="82" fillId="0" borderId="3" xfId="0" applyFont="1" applyFill="1" applyBorder="1" applyAlignment="1">
      <alignment horizontal="left" vertical="center" wrapText="1"/>
    </xf>
    <xf numFmtId="167" fontId="44" fillId="0" borderId="3" xfId="2" applyNumberFormat="1" applyFont="1" applyFill="1" applyBorder="1" applyAlignment="1"/>
    <xf numFmtId="168" fontId="54" fillId="0" borderId="3" xfId="0" applyNumberFormat="1" applyFont="1" applyFill="1" applyBorder="1" applyAlignment="1">
      <alignment horizontal="center" vertical="center" wrapText="1"/>
    </xf>
    <xf numFmtId="167" fontId="112" fillId="0" borderId="3" xfId="2" applyNumberFormat="1" applyFont="1" applyFill="1" applyBorder="1"/>
    <xf numFmtId="0" fontId="115" fillId="2" borderId="0" xfId="0" applyFont="1" applyFill="1" applyAlignment="1">
      <alignment horizontal="left" wrapText="1"/>
    </xf>
    <xf numFmtId="0" fontId="50" fillId="2" borderId="0" xfId="0" applyFont="1" applyFill="1"/>
    <xf numFmtId="0" fontId="35" fillId="2" borderId="3" xfId="0" applyFont="1" applyFill="1" applyBorder="1" applyAlignment="1">
      <alignment wrapText="1"/>
    </xf>
    <xf numFmtId="0" fontId="37" fillId="2" borderId="3" xfId="0" applyFont="1" applyFill="1" applyBorder="1" applyAlignment="1">
      <alignment horizontal="left" wrapText="1"/>
    </xf>
    <xf numFmtId="0" fontId="116" fillId="2" borderId="3" xfId="0" applyFont="1" applyFill="1" applyBorder="1" applyAlignment="1">
      <alignment wrapText="1"/>
    </xf>
    <xf numFmtId="0" fontId="37" fillId="2" borderId="3" xfId="0" applyFont="1" applyFill="1" applyBorder="1" applyAlignment="1">
      <alignment wrapText="1"/>
    </xf>
    <xf numFmtId="10" fontId="38" fillId="2" borderId="0" xfId="13" applyNumberFormat="1" applyFont="1" applyFill="1"/>
    <xf numFmtId="166" fontId="38" fillId="2" borderId="0" xfId="1" applyNumberFormat="1" applyFont="1" applyFill="1"/>
    <xf numFmtId="0" fontId="38" fillId="2" borderId="0" xfId="0" applyFont="1" applyFill="1"/>
    <xf numFmtId="0" fontId="36" fillId="2" borderId="0" xfId="0" applyFont="1" applyFill="1"/>
    <xf numFmtId="0" fontId="36" fillId="2" borderId="0" xfId="0" applyFont="1" applyFill="1" applyAlignment="1">
      <alignment vertical="center" wrapText="1"/>
    </xf>
    <xf numFmtId="0" fontId="38" fillId="2" borderId="0" xfId="0" applyFont="1" applyFill="1" applyBorder="1"/>
    <xf numFmtId="166" fontId="38" fillId="2" borderId="0" xfId="1" applyNumberFormat="1" applyFont="1" applyFill="1" applyBorder="1" applyAlignment="1">
      <alignment horizontal="center" vertical="center" wrapText="1"/>
    </xf>
    <xf numFmtId="166" fontId="38" fillId="2" borderId="1" xfId="1" applyNumberFormat="1" applyFont="1" applyFill="1" applyBorder="1"/>
    <xf numFmtId="166" fontId="38" fillId="2" borderId="3" xfId="1" applyNumberFormat="1" applyFont="1" applyFill="1" applyBorder="1"/>
    <xf numFmtId="166" fontId="38" fillId="2" borderId="0" xfId="0" applyNumberFormat="1" applyFont="1" applyFill="1"/>
    <xf numFmtId="166" fontId="36" fillId="2" borderId="1" xfId="1" applyNumberFormat="1" applyFont="1" applyFill="1" applyBorder="1" applyAlignment="1">
      <alignment horizontal="center" vertical="center" wrapText="1"/>
    </xf>
    <xf numFmtId="166" fontId="36" fillId="2" borderId="3" xfId="1" applyNumberFormat="1" applyFont="1" applyFill="1" applyBorder="1" applyAlignment="1">
      <alignment horizontal="center" vertical="center" wrapText="1"/>
    </xf>
    <xf numFmtId="0" fontId="109" fillId="2" borderId="3" xfId="0" applyFont="1" applyFill="1" applyBorder="1" applyAlignment="1">
      <alignment horizontal="left" vertical="top" wrapText="1"/>
    </xf>
    <xf numFmtId="166" fontId="117" fillId="2" borderId="0" xfId="0" applyNumberFormat="1" applyFont="1" applyFill="1"/>
    <xf numFmtId="0" fontId="117" fillId="2" borderId="0" xfId="0" applyFont="1" applyFill="1"/>
    <xf numFmtId="173" fontId="38" fillId="2" borderId="1" xfId="1" applyNumberFormat="1" applyFont="1" applyFill="1" applyBorder="1"/>
    <xf numFmtId="173" fontId="38" fillId="2" borderId="3" xfId="1" applyNumberFormat="1" applyFont="1" applyFill="1" applyBorder="1"/>
    <xf numFmtId="173" fontId="81" fillId="2" borderId="3" xfId="1" applyNumberFormat="1" applyFont="1" applyFill="1" applyBorder="1"/>
    <xf numFmtId="173" fontId="37" fillId="0" borderId="3" xfId="1" applyNumberFormat="1" applyFont="1" applyFill="1" applyBorder="1"/>
    <xf numFmtId="173" fontId="36" fillId="2" borderId="3" xfId="1" applyNumberFormat="1" applyFont="1" applyFill="1" applyBorder="1"/>
    <xf numFmtId="173" fontId="37" fillId="2" borderId="3" xfId="1" applyNumberFormat="1" applyFont="1" applyFill="1" applyBorder="1"/>
    <xf numFmtId="173" fontId="109" fillId="2" borderId="3" xfId="1" applyNumberFormat="1" applyFont="1" applyFill="1" applyBorder="1" applyAlignment="1">
      <alignment horizontal="right" wrapText="1"/>
    </xf>
    <xf numFmtId="173" fontId="35" fillId="2" borderId="3" xfId="1" applyNumberFormat="1" applyFont="1" applyFill="1" applyBorder="1" applyAlignment="1">
      <alignment horizontal="right" wrapText="1"/>
    </xf>
    <xf numFmtId="173" fontId="38" fillId="2" borderId="0" xfId="0" applyNumberFormat="1" applyFont="1" applyFill="1"/>
    <xf numFmtId="166" fontId="36" fillId="22" borderId="3" xfId="1" applyNumberFormat="1" applyFont="1" applyFill="1" applyBorder="1" applyAlignment="1">
      <alignment horizontal="center" vertical="center" wrapText="1"/>
    </xf>
    <xf numFmtId="166" fontId="38" fillId="22" borderId="3" xfId="1" applyNumberFormat="1" applyFont="1" applyFill="1" applyBorder="1"/>
    <xf numFmtId="166" fontId="36" fillId="22" borderId="3" xfId="1" applyNumberFormat="1" applyFont="1" applyFill="1" applyBorder="1"/>
    <xf numFmtId="166" fontId="109" fillId="22" borderId="3" xfId="1" applyNumberFormat="1" applyFont="1" applyFill="1" applyBorder="1" applyAlignment="1">
      <alignment horizontal="right" wrapText="1"/>
    </xf>
    <xf numFmtId="166" fontId="35" fillId="22" borderId="3" xfId="1" applyNumberFormat="1" applyFont="1" applyFill="1" applyBorder="1" applyAlignment="1">
      <alignment horizontal="right" wrapText="1"/>
    </xf>
    <xf numFmtId="167" fontId="50" fillId="2" borderId="0" xfId="2" applyNumberFormat="1" applyFont="1" applyFill="1"/>
    <xf numFmtId="0" fontId="51" fillId="2" borderId="0" xfId="0" applyFont="1" applyFill="1" applyAlignment="1">
      <alignment horizontal="center"/>
    </xf>
    <xf numFmtId="167" fontId="38" fillId="2" borderId="0" xfId="2" applyNumberFormat="1" applyFont="1" applyFill="1" applyBorder="1" applyAlignment="1">
      <alignment wrapText="1"/>
    </xf>
    <xf numFmtId="0" fontId="119" fillId="2" borderId="3" xfId="0" applyFont="1" applyFill="1" applyBorder="1" applyAlignment="1">
      <alignment horizontal="center"/>
    </xf>
    <xf numFmtId="0" fontId="119" fillId="2" borderId="3" xfId="0" applyFont="1" applyFill="1" applyBorder="1" applyAlignment="1">
      <alignment horizontal="center" vertical="center"/>
    </xf>
    <xf numFmtId="0" fontId="52" fillId="2" borderId="3" xfId="0" applyFont="1" applyFill="1" applyBorder="1"/>
    <xf numFmtId="0" fontId="120" fillId="2" borderId="3" xfId="0" applyFont="1" applyFill="1" applyBorder="1"/>
    <xf numFmtId="0" fontId="120" fillId="2" borderId="3" xfId="0" applyFont="1" applyFill="1" applyBorder="1" applyAlignment="1">
      <alignment horizontal="center"/>
    </xf>
    <xf numFmtId="0" fontId="120" fillId="2" borderId="3" xfId="0" applyFont="1" applyFill="1" applyBorder="1" applyAlignment="1">
      <alignment horizontal="right"/>
    </xf>
    <xf numFmtId="167" fontId="120" fillId="2" borderId="3" xfId="2" applyNumberFormat="1" applyFont="1" applyFill="1" applyBorder="1" applyAlignment="1">
      <alignment horizontal="right"/>
    </xf>
    <xf numFmtId="167" fontId="50" fillId="2" borderId="3" xfId="2" applyNumberFormat="1" applyFont="1" applyFill="1" applyBorder="1"/>
    <xf numFmtId="0" fontId="50" fillId="2" borderId="3" xfId="0" applyFont="1" applyFill="1" applyBorder="1"/>
    <xf numFmtId="0" fontId="38" fillId="2" borderId="3" xfId="0" applyFont="1" applyFill="1" applyBorder="1" applyAlignment="1">
      <alignment wrapText="1"/>
    </xf>
    <xf numFmtId="0" fontId="121" fillId="2" borderId="3" xfId="0" applyFont="1" applyFill="1" applyBorder="1" applyAlignment="1">
      <alignment horizontal="right"/>
    </xf>
    <xf numFmtId="0" fontId="122" fillId="2" borderId="3" xfId="0" applyFont="1" applyFill="1" applyBorder="1" applyAlignment="1">
      <alignment horizontal="right"/>
    </xf>
    <xf numFmtId="167" fontId="38" fillId="2" borderId="3" xfId="2" applyNumberFormat="1" applyFont="1" applyFill="1" applyBorder="1" applyAlignment="1">
      <alignment wrapText="1"/>
    </xf>
    <xf numFmtId="0" fontId="123" fillId="2" borderId="3" xfId="0" applyFont="1" applyFill="1" applyBorder="1" applyAlignment="1">
      <alignment horizontal="right"/>
    </xf>
    <xf numFmtId="167" fontId="122" fillId="2" borderId="3" xfId="2" applyNumberFormat="1" applyFont="1" applyFill="1" applyBorder="1" applyAlignment="1">
      <alignment horizontal="right"/>
    </xf>
    <xf numFmtId="0" fontId="120" fillId="2" borderId="3" xfId="0" applyFont="1" applyFill="1" applyBorder="1" applyAlignment="1">
      <alignment horizontal="left"/>
    </xf>
    <xf numFmtId="0" fontId="124" fillId="2" borderId="3" xfId="0" applyFont="1" applyFill="1" applyBorder="1" applyAlignment="1">
      <alignment horizontal="center" vertical="center"/>
    </xf>
    <xf numFmtId="0" fontId="124" fillId="2" borderId="3" xfId="0" applyFont="1" applyFill="1" applyBorder="1" applyAlignment="1">
      <alignment wrapText="1"/>
    </xf>
    <xf numFmtId="167" fontId="124" fillId="2" borderId="3" xfId="2" applyNumberFormat="1" applyFont="1" applyFill="1" applyBorder="1" applyAlignment="1">
      <alignment horizontal="right"/>
    </xf>
    <xf numFmtId="10" fontId="50" fillId="2" borderId="3" xfId="13" applyNumberFormat="1" applyFont="1" applyFill="1" applyBorder="1"/>
    <xf numFmtId="0" fontId="126" fillId="2" borderId="3" xfId="3" applyFont="1" applyFill="1" applyBorder="1" applyAlignment="1">
      <alignment horizontal="right"/>
    </xf>
    <xf numFmtId="0" fontId="126" fillId="2" borderId="3" xfId="3" applyFont="1" applyFill="1" applyBorder="1" applyAlignment="1">
      <alignment horizontal="center"/>
    </xf>
    <xf numFmtId="169" fontId="126" fillId="2" borderId="3" xfId="3" applyNumberFormat="1" applyFont="1" applyFill="1" applyBorder="1"/>
    <xf numFmtId="167" fontId="126" fillId="2" borderId="3" xfId="2" applyNumberFormat="1" applyFont="1" applyFill="1" applyBorder="1" applyAlignment="1" applyProtection="1">
      <alignment horizontal="right"/>
    </xf>
    <xf numFmtId="0" fontId="126" fillId="2" borderId="3" xfId="3" applyFont="1" applyFill="1" applyBorder="1"/>
    <xf numFmtId="0" fontId="127" fillId="7" borderId="3" xfId="3" applyFont="1" applyFill="1" applyBorder="1" applyAlignment="1">
      <alignment horizontal="left" vertical="center" wrapText="1"/>
    </xf>
    <xf numFmtId="0" fontId="127" fillId="8" borderId="3" xfId="3" applyFont="1" applyFill="1" applyBorder="1" applyAlignment="1">
      <alignment horizontal="left" vertical="center" wrapText="1"/>
    </xf>
    <xf numFmtId="167" fontId="127" fillId="7" borderId="3" xfId="2" applyNumberFormat="1" applyFont="1" applyFill="1" applyBorder="1" applyAlignment="1" applyProtection="1">
      <alignment horizontal="right"/>
    </xf>
    <xf numFmtId="0" fontId="127" fillId="7" borderId="3" xfId="3" applyFont="1" applyFill="1" applyBorder="1" applyAlignment="1">
      <alignment horizontal="left" vertical="center"/>
    </xf>
    <xf numFmtId="0" fontId="127" fillId="8" borderId="3" xfId="3" applyFont="1" applyFill="1" applyBorder="1" applyAlignment="1">
      <alignment horizontal="left" vertical="center"/>
    </xf>
    <xf numFmtId="0" fontId="125" fillId="2" borderId="3" xfId="3" applyFont="1" applyFill="1" applyBorder="1" applyAlignment="1">
      <alignment horizontal="left" vertical="center"/>
    </xf>
    <xf numFmtId="0" fontId="127" fillId="7" borderId="3" xfId="3" applyFont="1" applyFill="1" applyBorder="1" applyAlignment="1">
      <alignment horizontal="right" vertical="center" wrapText="1"/>
    </xf>
    <xf numFmtId="0" fontId="125" fillId="8" borderId="3" xfId="3" applyFont="1" applyFill="1" applyBorder="1" applyAlignment="1">
      <alignment horizontal="right" vertical="center"/>
    </xf>
    <xf numFmtId="167" fontId="125" fillId="8" borderId="3" xfId="2" applyNumberFormat="1" applyFont="1" applyFill="1" applyBorder="1" applyAlignment="1">
      <alignment horizontal="left" vertical="center"/>
    </xf>
    <xf numFmtId="167" fontId="125" fillId="7" borderId="3" xfId="2" applyNumberFormat="1" applyFont="1" applyFill="1" applyBorder="1" applyAlignment="1" applyProtection="1">
      <alignment horizontal="right"/>
    </xf>
    <xf numFmtId="0" fontId="127" fillId="9" borderId="3" xfId="3" applyFont="1" applyFill="1" applyBorder="1" applyAlignment="1">
      <alignment horizontal="center" vertical="center"/>
    </xf>
    <xf numFmtId="0" fontId="127" fillId="9" borderId="3" xfId="3" applyFont="1" applyFill="1" applyBorder="1" applyAlignment="1">
      <alignment horizontal="justify" vertical="center" wrapText="1"/>
    </xf>
    <xf numFmtId="167" fontId="127" fillId="9" borderId="3" xfId="2" applyNumberFormat="1" applyFont="1" applyFill="1" applyBorder="1" applyAlignment="1" applyProtection="1">
      <alignment horizontal="right"/>
    </xf>
    <xf numFmtId="0" fontId="124" fillId="2" borderId="3" xfId="0" applyFont="1" applyFill="1" applyBorder="1" applyAlignment="1">
      <alignment horizontal="left" vertical="center"/>
    </xf>
    <xf numFmtId="0" fontId="127" fillId="21" borderId="3" xfId="3" applyFont="1" applyFill="1" applyBorder="1" applyAlignment="1">
      <alignment horizontal="left"/>
    </xf>
    <xf numFmtId="0" fontId="128" fillId="8" borderId="3" xfId="3" applyFont="1" applyFill="1" applyBorder="1"/>
    <xf numFmtId="0" fontId="129" fillId="8" borderId="3" xfId="3" applyFont="1" applyFill="1" applyBorder="1"/>
    <xf numFmtId="167" fontId="127" fillId="21" borderId="3" xfId="2" applyNumberFormat="1" applyFont="1" applyFill="1" applyBorder="1" applyAlignment="1" applyProtection="1"/>
    <xf numFmtId="0" fontId="124" fillId="2" borderId="3" xfId="0" applyFont="1" applyFill="1" applyBorder="1" applyAlignment="1">
      <alignment horizontal="left"/>
    </xf>
    <xf numFmtId="0" fontId="122" fillId="2" borderId="3" xfId="0" applyFont="1" applyFill="1" applyBorder="1"/>
    <xf numFmtId="0" fontId="124" fillId="2" borderId="3" xfId="0" applyFont="1" applyFill="1" applyBorder="1" applyAlignment="1">
      <alignment horizontal="left" vertical="center" wrapText="1"/>
    </xf>
    <xf numFmtId="167" fontId="85" fillId="2" borderId="3" xfId="2" applyNumberFormat="1" applyFont="1" applyFill="1" applyBorder="1"/>
    <xf numFmtId="167" fontId="36" fillId="2" borderId="3" xfId="2" applyNumberFormat="1" applyFont="1" applyFill="1" applyBorder="1" applyAlignment="1">
      <alignment horizontal="right"/>
    </xf>
    <xf numFmtId="0" fontId="36" fillId="2" borderId="3" xfId="0" applyFont="1" applyFill="1" applyBorder="1" applyAlignment="1">
      <alignment wrapText="1"/>
    </xf>
    <xf numFmtId="0" fontId="36" fillId="2" borderId="3" xfId="0" applyFont="1" applyFill="1" applyBorder="1"/>
    <xf numFmtId="167" fontId="36" fillId="2" borderId="3" xfId="2" applyNumberFormat="1" applyFont="1" applyFill="1" applyBorder="1"/>
    <xf numFmtId="0" fontId="38" fillId="2" borderId="3" xfId="0" applyFont="1" applyFill="1" applyBorder="1" applyAlignment="1">
      <alignment horizontal="right" wrapText="1"/>
    </xf>
    <xf numFmtId="167" fontId="38" fillId="2" borderId="3" xfId="2" applyNumberFormat="1" applyFont="1" applyFill="1" applyBorder="1"/>
    <xf numFmtId="167" fontId="36" fillId="2" borderId="3" xfId="2" applyNumberFormat="1" applyFont="1" applyFill="1" applyBorder="1" applyAlignment="1">
      <alignment wrapText="1"/>
    </xf>
    <xf numFmtId="167" fontId="130" fillId="2" borderId="3" xfId="2" applyNumberFormat="1" applyFont="1" applyFill="1" applyBorder="1" applyAlignment="1">
      <alignment wrapText="1"/>
    </xf>
    <xf numFmtId="167" fontId="51" fillId="2" borderId="3" xfId="2" applyNumberFormat="1" applyFont="1" applyFill="1" applyBorder="1"/>
    <xf numFmtId="0" fontId="50" fillId="2" borderId="3" xfId="0" applyFont="1" applyFill="1" applyBorder="1" applyAlignment="1">
      <alignment wrapText="1"/>
    </xf>
    <xf numFmtId="167" fontId="51" fillId="2" borderId="3" xfId="2" applyNumberFormat="1" applyFont="1" applyFill="1" applyBorder="1" applyAlignment="1">
      <alignment horizontal="center" vertical="center" wrapText="1"/>
    </xf>
    <xf numFmtId="167" fontId="111" fillId="22" borderId="3" xfId="2" applyNumberFormat="1" applyFont="1" applyFill="1" applyBorder="1" applyAlignment="1">
      <alignment horizontal="right" vertical="center"/>
    </xf>
    <xf numFmtId="0" fontId="54" fillId="0" borderId="3" xfId="0" applyFont="1" applyFill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right"/>
    </xf>
    <xf numFmtId="0" fontId="51" fillId="16" borderId="4" xfId="0" applyFont="1" applyFill="1" applyBorder="1" applyAlignment="1">
      <alignment horizontal="center" vertical="center" wrapText="1"/>
    </xf>
    <xf numFmtId="0" fontId="51" fillId="16" borderId="17" xfId="0" applyFont="1" applyFill="1" applyBorder="1" applyAlignment="1">
      <alignment horizontal="center" vertical="center" wrapText="1"/>
    </xf>
    <xf numFmtId="0" fontId="86" fillId="2" borderId="10" xfId="0" applyFont="1" applyFill="1" applyBorder="1"/>
    <xf numFmtId="0" fontId="86" fillId="2" borderId="3" xfId="0" applyFont="1" applyFill="1" applyBorder="1"/>
    <xf numFmtId="170" fontId="50" fillId="0" borderId="3" xfId="2" applyNumberFormat="1" applyFont="1" applyBorder="1"/>
    <xf numFmtId="10" fontId="50" fillId="0" borderId="3" xfId="13" applyNumberFormat="1" applyFont="1" applyBorder="1"/>
    <xf numFmtId="9" fontId="50" fillId="0" borderId="3" xfId="13" applyFont="1" applyBorder="1"/>
    <xf numFmtId="170" fontId="51" fillId="0" borderId="3" xfId="2" applyNumberFormat="1" applyFont="1" applyBorder="1"/>
    <xf numFmtId="170" fontId="50" fillId="0" borderId="3" xfId="0" applyNumberFormat="1" applyFont="1" applyBorder="1"/>
    <xf numFmtId="0" fontId="86" fillId="2" borderId="10" xfId="0" applyFont="1" applyFill="1" applyBorder="1" applyAlignment="1"/>
    <xf numFmtId="0" fontId="86" fillId="2" borderId="3" xfId="0" applyFont="1" applyFill="1" applyBorder="1" applyAlignment="1"/>
    <xf numFmtId="0" fontId="86" fillId="2" borderId="10" xfId="0" applyFont="1" applyFill="1" applyBorder="1" applyAlignment="1">
      <alignment horizontal="left" vertical="center"/>
    </xf>
    <xf numFmtId="0" fontId="86" fillId="2" borderId="3" xfId="0" applyFont="1" applyFill="1" applyBorder="1" applyAlignment="1">
      <alignment horizontal="left" vertical="center"/>
    </xf>
    <xf numFmtId="0" fontId="51" fillId="10" borderId="10" xfId="0" applyFont="1" applyFill="1" applyBorder="1"/>
    <xf numFmtId="0" fontId="51" fillId="10" borderId="3" xfId="0" applyFont="1" applyFill="1" applyBorder="1"/>
    <xf numFmtId="170" fontId="51" fillId="14" borderId="3" xfId="2" applyNumberFormat="1" applyFont="1" applyFill="1" applyBorder="1"/>
    <xf numFmtId="10" fontId="51" fillId="14" borderId="3" xfId="13" applyNumberFormat="1" applyFont="1" applyFill="1" applyBorder="1"/>
    <xf numFmtId="170" fontId="51" fillId="16" borderId="3" xfId="2" applyNumberFormat="1" applyFont="1" applyFill="1" applyBorder="1"/>
    <xf numFmtId="10" fontId="51" fillId="16" borderId="3" xfId="13" applyNumberFormat="1" applyFont="1" applyFill="1" applyBorder="1"/>
    <xf numFmtId="170" fontId="51" fillId="16" borderId="1" xfId="2" applyNumberFormat="1" applyFont="1" applyFill="1" applyBorder="1"/>
    <xf numFmtId="170" fontId="51" fillId="10" borderId="3" xfId="2" applyNumberFormat="1" applyFont="1" applyFill="1" applyBorder="1"/>
    <xf numFmtId="10" fontId="51" fillId="10" borderId="3" xfId="13" applyNumberFormat="1" applyFont="1" applyFill="1" applyBorder="1"/>
    <xf numFmtId="170" fontId="50" fillId="0" borderId="1" xfId="2" applyNumberFormat="1" applyFont="1" applyBorder="1"/>
    <xf numFmtId="0" fontId="50" fillId="0" borderId="3" xfId="0" applyFont="1" applyBorder="1"/>
    <xf numFmtId="0" fontId="50" fillId="0" borderId="79" xfId="0" applyFont="1" applyBorder="1"/>
    <xf numFmtId="0" fontId="50" fillId="0" borderId="16" xfId="0" applyFont="1" applyBorder="1"/>
    <xf numFmtId="170" fontId="50" fillId="0" borderId="16" xfId="2" applyNumberFormat="1" applyFont="1" applyBorder="1"/>
    <xf numFmtId="170" fontId="50" fillId="0" borderId="80" xfId="2" applyNumberFormat="1" applyFont="1" applyBorder="1"/>
    <xf numFmtId="167" fontId="44" fillId="22" borderId="3" xfId="2" applyNumberFormat="1" applyFont="1" applyFill="1" applyBorder="1"/>
    <xf numFmtId="173" fontId="38" fillId="0" borderId="74" xfId="0" applyNumberFormat="1" applyFont="1" applyFill="1" applyBorder="1" applyAlignment="1">
      <alignment horizontal="right" vertical="center"/>
    </xf>
    <xf numFmtId="173" fontId="38" fillId="0" borderId="17" xfId="0" applyNumberFormat="1" applyFont="1" applyFill="1" applyBorder="1" applyAlignment="1">
      <alignment horizontal="right" vertical="center"/>
    </xf>
    <xf numFmtId="173" fontId="38" fillId="0" borderId="10" xfId="0" applyNumberFormat="1" applyFont="1" applyFill="1" applyBorder="1" applyAlignment="1">
      <alignment horizontal="right" vertical="center"/>
    </xf>
    <xf numFmtId="173" fontId="38" fillId="0" borderId="3" xfId="0" applyNumberFormat="1" applyFont="1" applyFill="1" applyBorder="1" applyAlignment="1">
      <alignment horizontal="right" vertical="center"/>
    </xf>
    <xf numFmtId="173" fontId="38" fillId="0" borderId="11" xfId="0" applyNumberFormat="1" applyFont="1" applyFill="1" applyBorder="1" applyAlignment="1">
      <alignment horizontal="right" vertical="center"/>
    </xf>
    <xf numFmtId="173" fontId="38" fillId="0" borderId="12" xfId="0" applyNumberFormat="1" applyFont="1" applyFill="1" applyBorder="1" applyAlignment="1">
      <alignment horizontal="right" vertical="center"/>
    </xf>
    <xf numFmtId="168" fontId="3" fillId="22" borderId="17" xfId="0" applyNumberFormat="1" applyFont="1" applyFill="1" applyBorder="1"/>
    <xf numFmtId="168" fontId="0" fillId="22" borderId="8" xfId="0" applyNumberFormat="1" applyFill="1" applyBorder="1"/>
    <xf numFmtId="0" fontId="45" fillId="0" borderId="0" xfId="0" applyFont="1" applyAlignment="1">
      <alignment horizontal="center" vertical="center" wrapText="1"/>
    </xf>
    <xf numFmtId="0" fontId="33" fillId="6" borderId="4" xfId="0" applyFont="1" applyFill="1" applyBorder="1" applyAlignment="1">
      <alignment horizontal="center" vertical="center"/>
    </xf>
    <xf numFmtId="0" fontId="33" fillId="6" borderId="17" xfId="0" applyFont="1" applyFill="1" applyBorder="1" applyAlignment="1">
      <alignment horizontal="center" vertical="center"/>
    </xf>
    <xf numFmtId="0" fontId="34" fillId="6" borderId="4" xfId="0" applyFont="1" applyFill="1" applyBorder="1" applyAlignment="1">
      <alignment horizontal="center" vertical="center" wrapText="1"/>
    </xf>
    <xf numFmtId="0" fontId="34" fillId="6" borderId="17" xfId="0" applyFont="1" applyFill="1" applyBorder="1" applyAlignment="1">
      <alignment horizontal="center" vertical="center" wrapText="1"/>
    </xf>
    <xf numFmtId="166" fontId="34" fillId="6" borderId="1" xfId="7" applyNumberFormat="1" applyFont="1" applyFill="1" applyBorder="1" applyAlignment="1">
      <alignment horizontal="center" vertical="center" wrapText="1"/>
    </xf>
    <xf numFmtId="166" fontId="34" fillId="6" borderId="2" xfId="7" applyNumberFormat="1" applyFont="1" applyFill="1" applyBorder="1" applyAlignment="1">
      <alignment horizontal="center" vertical="center" wrapText="1"/>
    </xf>
    <xf numFmtId="166" fontId="34" fillId="6" borderId="15" xfId="7" applyNumberFormat="1" applyFont="1" applyFill="1" applyBorder="1" applyAlignment="1">
      <alignment horizontal="center" vertical="center" wrapText="1"/>
    </xf>
    <xf numFmtId="166" fontId="34" fillId="6" borderId="4" xfId="7" applyNumberFormat="1" applyFont="1" applyFill="1" applyBorder="1" applyAlignment="1">
      <alignment horizontal="center" vertical="center" wrapText="1"/>
    </xf>
    <xf numFmtId="166" fontId="34" fillId="6" borderId="17" xfId="7" applyNumberFormat="1" applyFont="1" applyFill="1" applyBorder="1" applyAlignment="1">
      <alignment horizontal="center" vertical="center" wrapText="1"/>
    </xf>
    <xf numFmtId="166" fontId="34" fillId="6" borderId="18" xfId="7" applyNumberFormat="1" applyFont="1" applyFill="1" applyBorder="1" applyAlignment="1">
      <alignment horizontal="center" vertical="center" wrapText="1"/>
    </xf>
    <xf numFmtId="166" fontId="34" fillId="6" borderId="0" xfId="7" applyNumberFormat="1" applyFont="1" applyFill="1" applyBorder="1" applyAlignment="1">
      <alignment horizontal="center" vertical="center" wrapText="1"/>
    </xf>
    <xf numFmtId="0" fontId="33" fillId="6" borderId="18" xfId="0" applyFont="1" applyFill="1" applyBorder="1" applyAlignment="1">
      <alignment horizontal="center"/>
    </xf>
    <xf numFmtId="0" fontId="33" fillId="6" borderId="0" xfId="0" applyFont="1" applyFill="1" applyBorder="1" applyAlignment="1">
      <alignment horizontal="center"/>
    </xf>
    <xf numFmtId="0" fontId="33" fillId="6" borderId="1" xfId="0" applyFont="1" applyFill="1" applyBorder="1" applyAlignment="1">
      <alignment horizontal="center"/>
    </xf>
    <xf numFmtId="0" fontId="33" fillId="6" borderId="2" xfId="0" applyFont="1" applyFill="1" applyBorder="1" applyAlignment="1">
      <alignment horizontal="center"/>
    </xf>
    <xf numFmtId="0" fontId="33" fillId="6" borderId="15" xfId="0" applyFont="1" applyFill="1" applyBorder="1" applyAlignment="1">
      <alignment horizontal="center"/>
    </xf>
    <xf numFmtId="0" fontId="33" fillId="6" borderId="3" xfId="0" applyFon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8" fontId="0" fillId="0" borderId="3" xfId="0" applyNumberFormat="1" applyFill="1" applyBorder="1" applyAlignment="1">
      <alignment horizontal="center" vertical="center" wrapText="1"/>
    </xf>
    <xf numFmtId="168" fontId="0" fillId="0" borderId="4" xfId="0" applyNumberFormat="1" applyFill="1" applyBorder="1" applyAlignment="1">
      <alignment horizontal="center" vertical="center" wrapText="1"/>
    </xf>
    <xf numFmtId="168" fontId="0" fillId="0" borderId="17" xfId="0" applyNumberForma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24" fillId="0" borderId="10" xfId="3" applyFont="1" applyFill="1" applyBorder="1" applyAlignment="1">
      <alignment horizontal="left" vertical="center"/>
    </xf>
    <xf numFmtId="0" fontId="80" fillId="0" borderId="69" xfId="0" applyFont="1" applyFill="1" applyBorder="1" applyAlignment="1">
      <alignment horizontal="center" vertical="center" wrapText="1"/>
    </xf>
    <xf numFmtId="0" fontId="80" fillId="0" borderId="70" xfId="0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horizontal="center"/>
    </xf>
    <xf numFmtId="167" fontId="15" fillId="0" borderId="2" xfId="2" applyNumberFormat="1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36" fillId="2" borderId="3" xfId="0" applyFont="1" applyFill="1" applyBorder="1" applyAlignment="1">
      <alignment horizontal="center" vertical="center" wrapText="1"/>
    </xf>
    <xf numFmtId="0" fontId="51" fillId="2" borderId="0" xfId="0" applyFont="1" applyFill="1" applyAlignment="1">
      <alignment horizontal="center"/>
    </xf>
    <xf numFmtId="0" fontId="36" fillId="2" borderId="3" xfId="0" applyFont="1" applyFill="1" applyBorder="1" applyAlignment="1">
      <alignment horizontal="center" vertical="center"/>
    </xf>
    <xf numFmtId="0" fontId="50" fillId="2" borderId="3" xfId="0" applyFont="1" applyFill="1" applyBorder="1" applyAlignment="1">
      <alignment horizontal="center"/>
    </xf>
    <xf numFmtId="0" fontId="51" fillId="2" borderId="0" xfId="0" applyFont="1" applyFill="1" applyAlignment="1">
      <alignment horizontal="center" wrapText="1"/>
    </xf>
    <xf numFmtId="0" fontId="51" fillId="2" borderId="3" xfId="0" applyFont="1" applyFill="1" applyBorder="1" applyAlignment="1">
      <alignment horizontal="center" vertical="center" wrapText="1"/>
    </xf>
    <xf numFmtId="0" fontId="51" fillId="2" borderId="3" xfId="0" applyFont="1" applyFill="1" applyBorder="1" applyAlignment="1">
      <alignment horizontal="center" vertical="center"/>
    </xf>
    <xf numFmtId="0" fontId="119" fillId="2" borderId="3" xfId="0" applyFont="1" applyFill="1" applyBorder="1" applyAlignment="1">
      <alignment horizontal="center" vertical="center"/>
    </xf>
    <xf numFmtId="167" fontId="119" fillId="2" borderId="3" xfId="2" applyNumberFormat="1" applyFont="1" applyFill="1" applyBorder="1" applyAlignment="1">
      <alignment horizontal="center"/>
    </xf>
    <xf numFmtId="0" fontId="118" fillId="2" borderId="0" xfId="0" applyFont="1" applyFill="1" applyBorder="1" applyAlignment="1">
      <alignment horizontal="center" vertical="center" wrapText="1"/>
    </xf>
    <xf numFmtId="0" fontId="119" fillId="2" borderId="13" xfId="0" applyFont="1" applyFill="1" applyBorder="1" applyAlignment="1">
      <alignment horizontal="center" vertical="center"/>
    </xf>
    <xf numFmtId="0" fontId="119" fillId="2" borderId="5" xfId="0" applyFont="1" applyFill="1" applyBorder="1" applyAlignment="1">
      <alignment horizontal="center" vertical="center"/>
    </xf>
    <xf numFmtId="0" fontId="119" fillId="2" borderId="19" xfId="0" applyFont="1" applyFill="1" applyBorder="1" applyAlignment="1">
      <alignment horizontal="center" vertical="center"/>
    </xf>
    <xf numFmtId="0" fontId="119" fillId="2" borderId="35" xfId="0" applyFont="1" applyFill="1" applyBorder="1" applyAlignment="1">
      <alignment horizontal="center" vertical="center"/>
    </xf>
    <xf numFmtId="0" fontId="119" fillId="2" borderId="6" xfId="0" applyFont="1" applyFill="1" applyBorder="1" applyAlignment="1">
      <alignment horizontal="center" vertical="center"/>
    </xf>
    <xf numFmtId="0" fontId="119" fillId="2" borderId="76" xfId="0" applyFont="1" applyFill="1" applyBorder="1" applyAlignment="1">
      <alignment horizontal="center" vertical="center"/>
    </xf>
    <xf numFmtId="0" fontId="51" fillId="2" borderId="4" xfId="0" applyFont="1" applyFill="1" applyBorder="1" applyAlignment="1">
      <alignment horizontal="center"/>
    </xf>
    <xf numFmtId="0" fontId="51" fillId="2" borderId="17" xfId="0" applyFont="1" applyFill="1" applyBorder="1" applyAlignment="1">
      <alignment horizontal="center"/>
    </xf>
    <xf numFmtId="0" fontId="125" fillId="2" borderId="3" xfId="3" applyFont="1" applyFill="1" applyBorder="1" applyAlignment="1">
      <alignment horizontal="left" vertical="center"/>
    </xf>
    <xf numFmtId="0" fontId="54" fillId="0" borderId="0" xfId="0" applyFont="1" applyFill="1" applyAlignment="1">
      <alignment horizontal="center"/>
    </xf>
    <xf numFmtId="0" fontId="44" fillId="0" borderId="3" xfId="0" applyFont="1" applyFill="1" applyBorder="1" applyAlignment="1">
      <alignment horizontal="right" vertical="top" wrapText="1"/>
    </xf>
    <xf numFmtId="0" fontId="44" fillId="0" borderId="1" xfId="0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left" vertical="center" wrapText="1"/>
    </xf>
    <xf numFmtId="38" fontId="111" fillId="0" borderId="3" xfId="1" applyNumberFormat="1" applyFont="1" applyFill="1" applyBorder="1" applyAlignment="1">
      <alignment horizontal="left" vertical="center"/>
    </xf>
    <xf numFmtId="0" fontId="44" fillId="0" borderId="3" xfId="0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right" vertical="center" wrapText="1"/>
    </xf>
    <xf numFmtId="0" fontId="44" fillId="0" borderId="15" xfId="0" applyFont="1" applyFill="1" applyBorder="1" applyAlignment="1">
      <alignment horizontal="right" vertical="center" wrapText="1"/>
    </xf>
    <xf numFmtId="0" fontId="82" fillId="0" borderId="0" xfId="0" applyFont="1" applyFill="1" applyAlignment="1">
      <alignment horizontal="center" vertical="center" wrapText="1"/>
    </xf>
    <xf numFmtId="0" fontId="82" fillId="0" borderId="6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right" vertical="center" wrapText="1"/>
    </xf>
    <xf numFmtId="0" fontId="44" fillId="0" borderId="3" xfId="0" applyFont="1" applyFill="1" applyBorder="1" applyAlignment="1">
      <alignment horizontal="center" vertical="center" textRotation="90" wrapText="1"/>
    </xf>
    <xf numFmtId="0" fontId="90" fillId="0" borderId="1" xfId="0" applyFont="1" applyFill="1" applyBorder="1" applyAlignment="1">
      <alignment horizontal="left" vertical="center" wrapText="1"/>
    </xf>
    <xf numFmtId="0" fontId="90" fillId="0" borderId="2" xfId="0" applyFont="1" applyFill="1" applyBorder="1" applyAlignment="1">
      <alignment horizontal="left" vertical="center" wrapText="1"/>
    </xf>
    <xf numFmtId="0" fontId="54" fillId="0" borderId="3" xfId="0" applyFont="1" applyFill="1" applyBorder="1" applyAlignment="1">
      <alignment vertical="center"/>
    </xf>
    <xf numFmtId="0" fontId="44" fillId="0" borderId="2" xfId="0" applyFont="1" applyFill="1" applyBorder="1" applyAlignment="1">
      <alignment horizontal="center" vertical="center" wrapText="1"/>
    </xf>
    <xf numFmtId="14" fontId="38" fillId="0" borderId="81" xfId="0" applyNumberFormat="1" applyFont="1" applyBorder="1" applyAlignment="1">
      <alignment horizontal="center" vertical="center" wrapText="1"/>
    </xf>
    <xf numFmtId="0" fontId="38" fillId="0" borderId="88" xfId="0" applyFont="1" applyBorder="1" applyAlignment="1">
      <alignment horizontal="center" vertical="center" wrapText="1"/>
    </xf>
    <xf numFmtId="0" fontId="38" fillId="0" borderId="82" xfId="0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38" fillId="0" borderId="4" xfId="0" applyFont="1" applyBorder="1" applyAlignment="1">
      <alignment horizontal="right" vertical="center" wrapText="1"/>
    </xf>
    <xf numFmtId="0" fontId="38" fillId="0" borderId="34" xfId="0" applyFont="1" applyBorder="1" applyAlignment="1">
      <alignment horizontal="right" vertical="center" wrapText="1"/>
    </xf>
    <xf numFmtId="0" fontId="38" fillId="0" borderId="17" xfId="0" applyFont="1" applyBorder="1" applyAlignment="1">
      <alignment horizontal="right" vertical="center" wrapText="1"/>
    </xf>
    <xf numFmtId="173" fontId="38" fillId="0" borderId="4" xfId="1" applyNumberFormat="1" applyFont="1" applyFill="1" applyBorder="1" applyAlignment="1">
      <alignment horizontal="right" vertical="center"/>
    </xf>
    <xf numFmtId="173" fontId="38" fillId="0" borderId="34" xfId="1" applyNumberFormat="1" applyFont="1" applyFill="1" applyBorder="1" applyAlignment="1">
      <alignment horizontal="right" vertical="center"/>
    </xf>
    <xf numFmtId="173" fontId="38" fillId="0" borderId="17" xfId="1" applyNumberFormat="1" applyFont="1" applyFill="1" applyBorder="1" applyAlignment="1">
      <alignment horizontal="right" vertical="center"/>
    </xf>
    <xf numFmtId="0" fontId="38" fillId="0" borderId="4" xfId="0" applyFont="1" applyBorder="1" applyAlignment="1">
      <alignment horizontal="center" vertical="center"/>
    </xf>
    <xf numFmtId="0" fontId="38" fillId="0" borderId="34" xfId="0" applyFont="1" applyBorder="1" applyAlignment="1">
      <alignment horizontal="center" vertical="center"/>
    </xf>
    <xf numFmtId="0" fontId="38" fillId="0" borderId="17" xfId="0" applyFont="1" applyBorder="1" applyAlignment="1">
      <alignment horizontal="center" vertical="center"/>
    </xf>
    <xf numFmtId="14" fontId="38" fillId="0" borderId="81" xfId="0" applyNumberFormat="1" applyFont="1" applyBorder="1" applyAlignment="1">
      <alignment horizontal="center" vertical="center"/>
    </xf>
    <xf numFmtId="0" fontId="38" fillId="0" borderId="88" xfId="0" applyFont="1" applyBorder="1" applyAlignment="1">
      <alignment horizontal="center" vertical="center"/>
    </xf>
    <xf numFmtId="0" fontId="38" fillId="0" borderId="82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168" fontId="3" fillId="0" borderId="4" xfId="0" applyNumberFormat="1" applyFont="1" applyFill="1" applyBorder="1" applyAlignment="1">
      <alignment horizontal="center" vertical="center" wrapText="1"/>
    </xf>
    <xf numFmtId="168" fontId="3" fillId="0" borderId="3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68" fontId="3" fillId="0" borderId="67" xfId="0" applyNumberFormat="1" applyFont="1" applyFill="1" applyBorder="1" applyAlignment="1">
      <alignment horizontal="center" vertical="center" wrapText="1"/>
    </xf>
    <xf numFmtId="0" fontId="0" fillId="0" borderId="63" xfId="0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0" fontId="0" fillId="0" borderId="66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/>
    </xf>
    <xf numFmtId="168" fontId="3" fillId="0" borderId="4" xfId="0" applyNumberFormat="1" applyFont="1" applyFill="1" applyBorder="1" applyAlignment="1">
      <alignment horizontal="center" vertical="center"/>
    </xf>
    <xf numFmtId="168" fontId="3" fillId="0" borderId="34" xfId="0" applyNumberFormat="1" applyFont="1" applyFill="1" applyBorder="1" applyAlignment="1">
      <alignment horizontal="center" vertical="center"/>
    </xf>
    <xf numFmtId="0" fontId="111" fillId="0" borderId="0" xfId="0" applyFont="1" applyFill="1" applyAlignment="1">
      <alignment horizontal="left" wrapText="1"/>
    </xf>
    <xf numFmtId="0" fontId="54" fillId="0" borderId="3" xfId="0" applyFont="1" applyFill="1" applyBorder="1" applyAlignment="1">
      <alignment horizontal="center"/>
    </xf>
    <xf numFmtId="0" fontId="107" fillId="0" borderId="0" xfId="0" applyFont="1" applyFill="1" applyAlignment="1">
      <alignment horizontal="center" wrapText="1"/>
    </xf>
    <xf numFmtId="0" fontId="54" fillId="0" borderId="102" xfId="0" applyFont="1" applyFill="1" applyBorder="1" applyAlignment="1">
      <alignment horizontal="center" vertical="center" wrapText="1"/>
    </xf>
    <xf numFmtId="0" fontId="54" fillId="0" borderId="103" xfId="0" applyFont="1" applyFill="1" applyBorder="1" applyAlignment="1">
      <alignment horizontal="center" vertical="center" wrapText="1"/>
    </xf>
    <xf numFmtId="0" fontId="54" fillId="0" borderId="104" xfId="0" applyFont="1" applyFill="1" applyBorder="1" applyAlignment="1">
      <alignment horizontal="center" vertical="center" wrapText="1"/>
    </xf>
    <xf numFmtId="0" fontId="54" fillId="0" borderId="105" xfId="0" applyFont="1" applyFill="1" applyBorder="1" applyAlignment="1">
      <alignment horizontal="center" vertical="center" wrapText="1"/>
    </xf>
    <xf numFmtId="0" fontId="54" fillId="0" borderId="16" xfId="0" applyFont="1" applyFill="1" applyBorder="1" applyAlignment="1">
      <alignment horizontal="center" vertical="center" wrapText="1"/>
    </xf>
    <xf numFmtId="0" fontId="54" fillId="0" borderId="106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center" wrapText="1"/>
    </xf>
    <xf numFmtId="0" fontId="114" fillId="0" borderId="33" xfId="0" applyFont="1" applyFill="1" applyBorder="1" applyAlignment="1">
      <alignment horizontal="center"/>
    </xf>
    <xf numFmtId="0" fontId="90" fillId="0" borderId="23" xfId="0" applyFont="1" applyFill="1" applyBorder="1" applyAlignment="1">
      <alignment horizontal="center" vertical="center" wrapText="1"/>
    </xf>
    <xf numFmtId="0" fontId="90" fillId="0" borderId="27" xfId="0" applyFont="1" applyFill="1" applyBorder="1" applyAlignment="1">
      <alignment horizontal="center" vertical="center" wrapText="1"/>
    </xf>
    <xf numFmtId="170" fontId="54" fillId="0" borderId="100" xfId="4" applyNumberFormat="1" applyFont="1" applyFill="1" applyBorder="1" applyAlignment="1">
      <alignment horizontal="center" vertical="center" wrapText="1"/>
    </xf>
    <xf numFmtId="170" fontId="54" fillId="0" borderId="70" xfId="4" applyNumberFormat="1" applyFont="1" applyFill="1" applyBorder="1" applyAlignment="1">
      <alignment horizontal="center" vertical="center" wrapText="1"/>
    </xf>
    <xf numFmtId="170" fontId="54" fillId="0" borderId="34" xfId="4" applyNumberFormat="1" applyFont="1" applyFill="1" applyBorder="1" applyAlignment="1">
      <alignment horizontal="center" vertical="center" wrapText="1"/>
    </xf>
    <xf numFmtId="170" fontId="54" fillId="0" borderId="18" xfId="4" applyNumberFormat="1" applyFont="1" applyFill="1" applyBorder="1" applyAlignment="1">
      <alignment horizontal="center" vertical="center" wrapText="1"/>
    </xf>
    <xf numFmtId="170" fontId="54" fillId="0" borderId="65" xfId="4" applyNumberFormat="1" applyFont="1" applyFill="1" applyBorder="1" applyAlignment="1">
      <alignment horizontal="center" vertical="center" wrapText="1"/>
    </xf>
    <xf numFmtId="170" fontId="54" fillId="0" borderId="88" xfId="4" applyNumberFormat="1" applyFont="1" applyFill="1" applyBorder="1" applyAlignment="1">
      <alignment horizontal="center" vertical="center" wrapText="1"/>
    </xf>
    <xf numFmtId="170" fontId="54" fillId="0" borderId="97" xfId="4" applyNumberFormat="1" applyFont="1" applyFill="1" applyBorder="1" applyAlignment="1">
      <alignment horizontal="center" vertical="center" wrapText="1"/>
    </xf>
    <xf numFmtId="0" fontId="54" fillId="0" borderId="95" xfId="0" applyFont="1" applyFill="1" applyBorder="1" applyAlignment="1">
      <alignment horizontal="center" vertical="center"/>
    </xf>
    <xf numFmtId="0" fontId="54" fillId="0" borderId="96" xfId="0" applyFont="1" applyFill="1" applyBorder="1" applyAlignment="1">
      <alignment horizontal="center" vertical="center"/>
    </xf>
    <xf numFmtId="0" fontId="90" fillId="0" borderId="3" xfId="0" applyFont="1" applyFill="1" applyBorder="1" applyAlignment="1">
      <alignment horizontal="center" vertical="center" wrapText="1"/>
    </xf>
    <xf numFmtId="170" fontId="54" fillId="0" borderId="3" xfId="4" applyNumberFormat="1" applyFont="1" applyFill="1" applyBorder="1" applyAlignment="1">
      <alignment horizontal="center" vertical="center" wrapText="1"/>
    </xf>
    <xf numFmtId="170" fontId="54" fillId="0" borderId="1" xfId="4" applyNumberFormat="1" applyFont="1" applyFill="1" applyBorder="1" applyAlignment="1">
      <alignment horizontal="center" vertical="center" wrapText="1"/>
    </xf>
    <xf numFmtId="170" fontId="54" fillId="0" borderId="2" xfId="4" applyNumberFormat="1" applyFont="1" applyFill="1" applyBorder="1" applyAlignment="1">
      <alignment horizontal="center" vertical="center" wrapText="1"/>
    </xf>
    <xf numFmtId="170" fontId="54" fillId="0" borderId="15" xfId="4" applyNumberFormat="1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vertical="center"/>
    </xf>
    <xf numFmtId="170" fontId="54" fillId="0" borderId="1" xfId="4" applyNumberFormat="1" applyFont="1" applyFill="1" applyBorder="1" applyAlignment="1">
      <alignment horizontal="center" vertical="center"/>
    </xf>
    <xf numFmtId="170" fontId="54" fillId="0" borderId="2" xfId="4" applyNumberFormat="1" applyFont="1" applyFill="1" applyBorder="1" applyAlignment="1">
      <alignment horizontal="center" vertical="center"/>
    </xf>
    <xf numFmtId="170" fontId="54" fillId="0" borderId="15" xfId="4" applyNumberFormat="1" applyFont="1" applyFill="1" applyBorder="1" applyAlignment="1">
      <alignment horizontal="center" vertical="center"/>
    </xf>
    <xf numFmtId="0" fontId="36" fillId="0" borderId="94" xfId="0" applyFont="1" applyFill="1" applyBorder="1" applyAlignment="1">
      <alignment horizontal="center"/>
    </xf>
    <xf numFmtId="0" fontId="36" fillId="0" borderId="99" xfId="0" applyFont="1" applyFill="1" applyBorder="1" applyAlignment="1">
      <alignment horizontal="center"/>
    </xf>
    <xf numFmtId="0" fontId="37" fillId="0" borderId="7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 wrapText="1"/>
    </xf>
    <xf numFmtId="0" fontId="37" fillId="0" borderId="20" xfId="0" applyFont="1" applyFill="1" applyBorder="1" applyAlignment="1">
      <alignment horizontal="center" vertical="center" wrapText="1"/>
    </xf>
    <xf numFmtId="3" fontId="38" fillId="0" borderId="69" xfId="4" applyNumberFormat="1" applyFont="1" applyFill="1" applyBorder="1" applyAlignment="1">
      <alignment horizontal="center" vertical="center" wrapText="1"/>
    </xf>
    <xf numFmtId="3" fontId="38" fillId="0" borderId="70" xfId="4" applyNumberFormat="1" applyFont="1" applyFill="1" applyBorder="1" applyAlignment="1">
      <alignment horizontal="center" vertical="center" wrapText="1"/>
    </xf>
    <xf numFmtId="3" fontId="38" fillId="0" borderId="83" xfId="4" applyNumberFormat="1" applyFont="1" applyFill="1" applyBorder="1" applyAlignment="1">
      <alignment horizontal="center" vertical="center" wrapText="1"/>
    </xf>
    <xf numFmtId="3" fontId="36" fillId="0" borderId="7" xfId="4" applyNumberFormat="1" applyFont="1" applyFill="1" applyBorder="1" applyAlignment="1">
      <alignment horizontal="center" vertical="center" wrapText="1"/>
    </xf>
    <xf numFmtId="3" fontId="36" fillId="0" borderId="8" xfId="4" applyNumberFormat="1" applyFont="1" applyFill="1" applyBorder="1" applyAlignment="1">
      <alignment horizontal="center" vertical="center" wrapText="1"/>
    </xf>
    <xf numFmtId="3" fontId="36" fillId="0" borderId="21" xfId="4" applyNumberFormat="1" applyFont="1" applyFill="1" applyBorder="1" applyAlignment="1">
      <alignment horizontal="center" vertical="center" wrapText="1"/>
    </xf>
    <xf numFmtId="3" fontId="36" fillId="0" borderId="11" xfId="4" applyNumberFormat="1" applyFont="1" applyFill="1" applyBorder="1" applyAlignment="1">
      <alignment horizontal="center" vertical="center" wrapText="1"/>
    </xf>
    <xf numFmtId="3" fontId="36" fillId="0" borderId="12" xfId="4" applyNumberFormat="1" applyFont="1" applyFill="1" applyBorder="1" applyAlignment="1">
      <alignment horizontal="center" vertical="center" wrapText="1"/>
    </xf>
    <xf numFmtId="3" fontId="36" fillId="0" borderId="22" xfId="4" applyNumberFormat="1" applyFont="1" applyFill="1" applyBorder="1" applyAlignment="1">
      <alignment horizontal="center" vertical="center" wrapText="1"/>
    </xf>
    <xf numFmtId="3" fontId="38" fillId="0" borderId="94" xfId="4" applyNumberFormat="1" applyFont="1" applyFill="1" applyBorder="1" applyAlignment="1">
      <alignment horizontal="center" vertical="center" wrapText="1"/>
    </xf>
    <xf numFmtId="3" fontId="38" fillId="0" borderId="95" xfId="4" applyNumberFormat="1" applyFont="1" applyFill="1" applyBorder="1" applyAlignment="1">
      <alignment horizontal="center" vertical="center" wrapText="1"/>
    </xf>
    <xf numFmtId="3" fontId="38" fillId="0" borderId="99" xfId="4" applyNumberFormat="1" applyFont="1" applyFill="1" applyBorder="1" applyAlignment="1">
      <alignment horizontal="center" vertical="center" wrapText="1"/>
    </xf>
    <xf numFmtId="3" fontId="38" fillId="0" borderId="69" xfId="0" applyNumberFormat="1" applyFont="1" applyFill="1" applyBorder="1" applyAlignment="1">
      <alignment horizontal="center" vertical="center"/>
    </xf>
    <xf numFmtId="3" fontId="38" fillId="0" borderId="70" xfId="0" applyNumberFormat="1" applyFont="1" applyFill="1" applyBorder="1" applyAlignment="1">
      <alignment horizontal="center" vertical="center"/>
    </xf>
    <xf numFmtId="3" fontId="38" fillId="0" borderId="83" xfId="0" applyNumberFormat="1" applyFont="1" applyFill="1" applyBorder="1" applyAlignment="1">
      <alignment horizontal="center" vertical="center"/>
    </xf>
    <xf numFmtId="3" fontId="54" fillId="0" borderId="76" xfId="4" applyNumberFormat="1" applyFont="1" applyFill="1" applyBorder="1" applyAlignment="1">
      <alignment horizontal="center" vertical="center" wrapText="1"/>
    </xf>
    <xf numFmtId="3" fontId="54" fillId="0" borderId="17" xfId="4" applyNumberFormat="1" applyFont="1" applyFill="1" applyBorder="1" applyAlignment="1">
      <alignment horizontal="center" vertical="center" wrapText="1"/>
    </xf>
    <xf numFmtId="3" fontId="54" fillId="0" borderId="82" xfId="4" applyNumberFormat="1" applyFont="1" applyFill="1" applyBorder="1" applyAlignment="1">
      <alignment horizontal="center" vertical="center" wrapText="1"/>
    </xf>
    <xf numFmtId="3" fontId="54" fillId="0" borderId="69" xfId="0" applyNumberFormat="1" applyFont="1" applyFill="1" applyBorder="1" applyAlignment="1">
      <alignment horizontal="center" vertical="center" wrapText="1"/>
    </xf>
    <xf numFmtId="3" fontId="54" fillId="0" borderId="70" xfId="0" applyNumberFormat="1" applyFont="1" applyFill="1" applyBorder="1" applyAlignment="1">
      <alignment horizontal="center" vertical="center" wrapText="1"/>
    </xf>
    <xf numFmtId="3" fontId="54" fillId="0" borderId="83" xfId="0" applyNumberFormat="1" applyFont="1" applyFill="1" applyBorder="1" applyAlignment="1">
      <alignment horizontal="center" vertical="center" wrapText="1"/>
    </xf>
    <xf numFmtId="0" fontId="90" fillId="0" borderId="7" xfId="0" applyFont="1" applyFill="1" applyBorder="1" applyAlignment="1">
      <alignment horizontal="center" vertical="center" wrapText="1"/>
    </xf>
    <xf numFmtId="0" fontId="90" fillId="0" borderId="10" xfId="0" applyFont="1" applyFill="1" applyBorder="1" applyAlignment="1">
      <alignment horizontal="center" vertical="center" wrapText="1"/>
    </xf>
    <xf numFmtId="0" fontId="90" fillId="0" borderId="21" xfId="0" applyFont="1" applyFill="1" applyBorder="1" applyAlignment="1">
      <alignment horizontal="center" vertical="center" wrapText="1"/>
    </xf>
    <xf numFmtId="0" fontId="90" fillId="0" borderId="20" xfId="0" applyFont="1" applyFill="1" applyBorder="1" applyAlignment="1">
      <alignment horizontal="center" vertical="center" wrapText="1"/>
    </xf>
    <xf numFmtId="3" fontId="54" fillId="0" borderId="7" xfId="4" applyNumberFormat="1" applyFont="1" applyFill="1" applyBorder="1" applyAlignment="1">
      <alignment horizontal="center" vertical="center" wrapText="1"/>
    </xf>
    <xf numFmtId="3" fontId="54" fillId="0" borderId="8" xfId="4" applyNumberFormat="1" applyFont="1" applyFill="1" applyBorder="1" applyAlignment="1">
      <alignment horizontal="center" vertical="center" wrapText="1"/>
    </xf>
    <xf numFmtId="3" fontId="54" fillId="0" borderId="21" xfId="4" applyNumberFormat="1" applyFont="1" applyFill="1" applyBorder="1" applyAlignment="1">
      <alignment horizontal="center" vertical="center" wrapText="1"/>
    </xf>
    <xf numFmtId="3" fontId="54" fillId="0" borderId="90" xfId="4" applyNumberFormat="1" applyFont="1" applyFill="1" applyBorder="1" applyAlignment="1">
      <alignment horizontal="center" vertical="center" wrapText="1"/>
    </xf>
    <xf numFmtId="0" fontId="114" fillId="0" borderId="3" xfId="0" applyFont="1" applyFill="1" applyBorder="1" applyAlignment="1">
      <alignment horizontal="center"/>
    </xf>
    <xf numFmtId="0" fontId="54" fillId="0" borderId="4" xfId="0" applyFont="1" applyFill="1" applyBorder="1" applyAlignment="1">
      <alignment horizontal="center" vertical="center" wrapText="1"/>
    </xf>
    <xf numFmtId="0" fontId="54" fillId="0" borderId="17" xfId="0" applyFont="1" applyFill="1" applyBorder="1" applyAlignment="1">
      <alignment horizontal="center" vertical="center" wrapText="1"/>
    </xf>
    <xf numFmtId="167" fontId="54" fillId="0" borderId="1" xfId="2" applyNumberFormat="1" applyFont="1" applyFill="1" applyBorder="1" applyAlignment="1">
      <alignment horizontal="center" vertical="center" wrapText="1"/>
    </xf>
    <xf numFmtId="167" fontId="54" fillId="0" borderId="2" xfId="2" applyNumberFormat="1" applyFont="1" applyFill="1" applyBorder="1" applyAlignment="1">
      <alignment horizontal="center" vertical="center" wrapText="1"/>
    </xf>
    <xf numFmtId="167" fontId="54" fillId="0" borderId="15" xfId="2" applyNumberFormat="1" applyFont="1" applyFill="1" applyBorder="1" applyAlignment="1">
      <alignment horizontal="center" vertical="center" wrapText="1"/>
    </xf>
    <xf numFmtId="0" fontId="54" fillId="0" borderId="4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3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170" fontId="3" fillId="5" borderId="9" xfId="4" applyNumberFormat="1" applyFont="1" applyFill="1" applyBorder="1" applyAlignment="1">
      <alignment horizontal="center" vertical="center" wrapText="1"/>
    </xf>
    <xf numFmtId="170" fontId="3" fillId="5" borderId="1" xfId="4" applyNumberFormat="1" applyFont="1" applyFill="1" applyBorder="1" applyAlignment="1">
      <alignment horizontal="center" vertical="center" wrapText="1"/>
    </xf>
    <xf numFmtId="170" fontId="3" fillId="0" borderId="0" xfId="4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33" fillId="11" borderId="7" xfId="0" applyFont="1" applyFill="1" applyBorder="1" applyAlignment="1">
      <alignment horizontal="center" vertical="center" wrapText="1"/>
    </xf>
    <xf numFmtId="0" fontId="33" fillId="11" borderId="10" xfId="0" applyFont="1" applyFill="1" applyBorder="1" applyAlignment="1">
      <alignment horizontal="center" vertical="center" wrapText="1"/>
    </xf>
    <xf numFmtId="0" fontId="33" fillId="11" borderId="8" xfId="0" applyFont="1" applyFill="1" applyBorder="1" applyAlignment="1">
      <alignment horizontal="center" vertical="center" wrapText="1"/>
    </xf>
    <xf numFmtId="0" fontId="33" fillId="11" borderId="3" xfId="0" applyFont="1" applyFill="1" applyBorder="1" applyAlignment="1">
      <alignment horizontal="center" vertical="center" wrapText="1"/>
    </xf>
    <xf numFmtId="170" fontId="34" fillId="11" borderId="21" xfId="4" applyNumberFormat="1" applyFont="1" applyFill="1" applyBorder="1" applyAlignment="1">
      <alignment horizontal="center" vertical="center" wrapText="1"/>
    </xf>
    <xf numFmtId="170" fontId="34" fillId="11" borderId="20" xfId="4" applyNumberFormat="1" applyFont="1" applyFill="1" applyBorder="1" applyAlignment="1">
      <alignment horizontal="center" vertical="center" wrapText="1"/>
    </xf>
    <xf numFmtId="170" fontId="3" fillId="12" borderId="23" xfId="4" applyNumberFormat="1" applyFont="1" applyFill="1" applyBorder="1" applyAlignment="1">
      <alignment horizontal="center" vertical="center" wrapText="1"/>
    </xf>
    <xf numFmtId="170" fontId="3" fillId="12" borderId="27" xfId="4" applyNumberFormat="1" applyFont="1" applyFill="1" applyBorder="1" applyAlignment="1">
      <alignment horizontal="center" vertical="center" wrapText="1"/>
    </xf>
    <xf numFmtId="0" fontId="3" fillId="13" borderId="24" xfId="0" applyFont="1" applyFill="1" applyBorder="1" applyAlignment="1">
      <alignment horizontal="center" vertical="center"/>
    </xf>
    <xf numFmtId="0" fontId="3" fillId="13" borderId="25" xfId="0" applyFont="1" applyFill="1" applyBorder="1" applyAlignment="1">
      <alignment horizontal="center" vertical="center"/>
    </xf>
    <xf numFmtId="0" fontId="3" fillId="13" borderId="26" xfId="0" applyFont="1" applyFill="1" applyBorder="1" applyAlignment="1">
      <alignment horizontal="center" vertical="center" wrapText="1"/>
    </xf>
    <xf numFmtId="0" fontId="3" fillId="13" borderId="28" xfId="0" applyFont="1" applyFill="1" applyBorder="1" applyAlignment="1">
      <alignment horizontal="center" vertical="center" wrapText="1"/>
    </xf>
    <xf numFmtId="0" fontId="3" fillId="13" borderId="30" xfId="0" applyFont="1" applyFill="1" applyBorder="1" applyAlignment="1">
      <alignment horizontal="center" vertical="center" wrapText="1"/>
    </xf>
    <xf numFmtId="167" fontId="38" fillId="0" borderId="4" xfId="2" applyNumberFormat="1" applyFont="1" applyBorder="1" applyAlignment="1">
      <alignment horizontal="center"/>
    </xf>
    <xf numFmtId="167" fontId="38" fillId="0" borderId="34" xfId="2" applyNumberFormat="1" applyFont="1" applyBorder="1" applyAlignment="1">
      <alignment horizontal="center"/>
    </xf>
    <xf numFmtId="167" fontId="38" fillId="0" borderId="17" xfId="2" applyNumberFormat="1" applyFont="1" applyBorder="1" applyAlignment="1">
      <alignment horizontal="center"/>
    </xf>
    <xf numFmtId="167" fontId="37" fillId="0" borderId="4" xfId="2" applyNumberFormat="1" applyFont="1" applyBorder="1" applyAlignment="1">
      <alignment horizontal="center" vertical="top" wrapText="1"/>
    </xf>
    <xf numFmtId="167" fontId="37" fillId="0" borderId="34" xfId="2" applyNumberFormat="1" applyFont="1" applyBorder="1" applyAlignment="1">
      <alignment horizontal="center" vertical="top" wrapText="1"/>
    </xf>
    <xf numFmtId="167" fontId="37" fillId="0" borderId="17" xfId="2" applyNumberFormat="1" applyFont="1" applyBorder="1" applyAlignment="1">
      <alignment horizontal="center" vertical="top" wrapText="1"/>
    </xf>
    <xf numFmtId="170" fontId="34" fillId="14" borderId="3" xfId="4" applyNumberFormat="1" applyFont="1" applyFill="1" applyBorder="1" applyAlignment="1">
      <alignment horizontal="center" vertical="center" wrapText="1"/>
    </xf>
    <xf numFmtId="170" fontId="3" fillId="14" borderId="3" xfId="4" applyNumberFormat="1" applyFont="1" applyFill="1" applyBorder="1" applyAlignment="1">
      <alignment horizontal="center" vertical="center" wrapText="1"/>
    </xf>
    <xf numFmtId="167" fontId="38" fillId="2" borderId="4" xfId="2" applyNumberFormat="1" applyFont="1" applyFill="1" applyBorder="1" applyAlignment="1">
      <alignment horizontal="center"/>
    </xf>
    <xf numFmtId="167" fontId="38" fillId="2" borderId="34" xfId="2" applyNumberFormat="1" applyFont="1" applyFill="1" applyBorder="1" applyAlignment="1">
      <alignment horizontal="center"/>
    </xf>
    <xf numFmtId="167" fontId="38" fillId="2" borderId="17" xfId="2" applyNumberFormat="1" applyFont="1" applyFill="1" applyBorder="1" applyAlignment="1">
      <alignment horizontal="center"/>
    </xf>
    <xf numFmtId="167" fontId="33" fillId="11" borderId="39" xfId="2" applyNumberFormat="1" applyFont="1" applyFill="1" applyBorder="1" applyAlignment="1">
      <alignment horizontal="center" vertical="center" wrapText="1"/>
    </xf>
    <xf numFmtId="167" fontId="33" fillId="11" borderId="34" xfId="2" applyNumberFormat="1" applyFont="1" applyFill="1" applyBorder="1" applyAlignment="1">
      <alignment horizontal="center" vertical="center" wrapText="1"/>
    </xf>
    <xf numFmtId="167" fontId="33" fillId="11" borderId="17" xfId="2" applyNumberFormat="1" applyFont="1" applyFill="1" applyBorder="1" applyAlignment="1">
      <alignment horizontal="center" vertical="center" wrapText="1"/>
    </xf>
    <xf numFmtId="170" fontId="34" fillId="13" borderId="14" xfId="4" applyNumberFormat="1" applyFont="1" applyFill="1" applyBorder="1" applyAlignment="1">
      <alignment horizontal="center" vertical="center" wrapText="1"/>
    </xf>
    <xf numFmtId="170" fontId="34" fillId="13" borderId="2" xfId="4" applyNumberFormat="1" applyFont="1" applyFill="1" applyBorder="1" applyAlignment="1">
      <alignment horizontal="center" vertical="center" wrapText="1"/>
    </xf>
    <xf numFmtId="170" fontId="34" fillId="3" borderId="14" xfId="4" applyNumberFormat="1" applyFont="1" applyFill="1" applyBorder="1" applyAlignment="1">
      <alignment horizontal="center" vertical="center" wrapText="1"/>
    </xf>
    <xf numFmtId="170" fontId="34" fillId="3" borderId="15" xfId="4" applyNumberFormat="1" applyFont="1" applyFill="1" applyBorder="1" applyAlignment="1">
      <alignment horizontal="center" vertical="center" wrapText="1"/>
    </xf>
    <xf numFmtId="170" fontId="34" fillId="5" borderId="14" xfId="4" applyNumberFormat="1" applyFont="1" applyFill="1" applyBorder="1" applyAlignment="1">
      <alignment horizontal="center" vertical="center" wrapText="1"/>
    </xf>
    <xf numFmtId="170" fontId="34" fillId="5" borderId="2" xfId="4" applyNumberFormat="1" applyFont="1" applyFill="1" applyBorder="1" applyAlignment="1">
      <alignment horizontal="center" vertical="center" wrapText="1"/>
    </xf>
    <xf numFmtId="170" fontId="34" fillId="5" borderId="15" xfId="4" applyNumberFormat="1" applyFont="1" applyFill="1" applyBorder="1" applyAlignment="1">
      <alignment horizontal="center" vertical="center" wrapText="1"/>
    </xf>
    <xf numFmtId="0" fontId="3" fillId="14" borderId="3" xfId="0" applyFont="1" applyFill="1" applyBorder="1" applyAlignment="1">
      <alignment horizontal="center" vertical="center" wrapText="1"/>
    </xf>
    <xf numFmtId="170" fontId="3" fillId="3" borderId="7" xfId="4" applyNumberFormat="1" applyFont="1" applyFill="1" applyBorder="1" applyAlignment="1">
      <alignment horizontal="center" vertical="center"/>
    </xf>
    <xf numFmtId="170" fontId="3" fillId="3" borderId="8" xfId="4" applyNumberFormat="1" applyFont="1" applyFill="1" applyBorder="1" applyAlignment="1">
      <alignment horizontal="center" vertical="center"/>
    </xf>
    <xf numFmtId="170" fontId="3" fillId="3" borderId="21" xfId="4" applyNumberFormat="1" applyFont="1" applyFill="1" applyBorder="1" applyAlignment="1">
      <alignment horizontal="center" vertical="center" wrapText="1"/>
    </xf>
    <xf numFmtId="170" fontId="3" fillId="3" borderId="20" xfId="4" applyNumberFormat="1" applyFont="1" applyFill="1" applyBorder="1" applyAlignment="1">
      <alignment horizontal="center" vertical="center" wrapText="1"/>
    </xf>
    <xf numFmtId="49" fontId="51" fillId="0" borderId="3" xfId="0" applyNumberFormat="1" applyFont="1" applyFill="1" applyBorder="1" applyAlignment="1">
      <alignment horizontal="center"/>
    </xf>
    <xf numFmtId="49" fontId="70" fillId="0" borderId="0" xfId="0" applyNumberFormat="1" applyFont="1" applyFill="1" applyAlignment="1">
      <alignment horizontal="left" vertical="center" wrapText="1"/>
    </xf>
    <xf numFmtId="0" fontId="88" fillId="0" borderId="3" xfId="0" applyFont="1" applyFill="1" applyBorder="1" applyAlignment="1">
      <alignment horizontal="left" wrapText="1"/>
    </xf>
    <xf numFmtId="0" fontId="51" fillId="0" borderId="3" xfId="0" applyFont="1" applyFill="1" applyBorder="1" applyAlignment="1">
      <alignment horizontal="center" vertical="center" wrapText="1"/>
    </xf>
    <xf numFmtId="0" fontId="51" fillId="0" borderId="18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/>
    </xf>
    <xf numFmtId="49" fontId="70" fillId="0" borderId="0" xfId="0" applyNumberFormat="1" applyFont="1" applyFill="1" applyAlignment="1">
      <alignment horizontal="center" vertical="center" wrapText="1"/>
    </xf>
    <xf numFmtId="0" fontId="44" fillId="0" borderId="1" xfId="0" applyFont="1" applyFill="1" applyBorder="1" applyAlignment="1">
      <alignment horizontal="left" wrapText="1"/>
    </xf>
    <xf numFmtId="0" fontId="44" fillId="0" borderId="15" xfId="0" applyFont="1" applyFill="1" applyBorder="1" applyAlignment="1">
      <alignment horizontal="left" wrapText="1"/>
    </xf>
    <xf numFmtId="0" fontId="90" fillId="0" borderId="3" xfId="0" applyFont="1" applyFill="1" applyBorder="1" applyAlignment="1">
      <alignment horizontal="left" wrapText="1"/>
    </xf>
    <xf numFmtId="0" fontId="36" fillId="2" borderId="0" xfId="0" applyFont="1" applyFill="1" applyAlignment="1">
      <alignment horizontal="center" vertical="center" wrapText="1"/>
    </xf>
    <xf numFmtId="0" fontId="51" fillId="14" borderId="9" xfId="0" applyFont="1" applyFill="1" applyBorder="1" applyAlignment="1">
      <alignment horizontal="center" wrapText="1"/>
    </xf>
    <xf numFmtId="0" fontId="51" fillId="14" borderId="25" xfId="0" applyFont="1" applyFill="1" applyBorder="1" applyAlignment="1">
      <alignment horizontal="center" wrapText="1"/>
    </xf>
    <xf numFmtId="0" fontId="51" fillId="14" borderId="78" xfId="0" applyFont="1" applyFill="1" applyBorder="1" applyAlignment="1">
      <alignment horizontal="center" wrapText="1"/>
    </xf>
    <xf numFmtId="0" fontId="51" fillId="14" borderId="4" xfId="0" applyFont="1" applyFill="1" applyBorder="1" applyAlignment="1">
      <alignment horizontal="center" vertical="center" wrapText="1"/>
    </xf>
    <xf numFmtId="0" fontId="51" fillId="14" borderId="17" xfId="0" applyFont="1" applyFill="1" applyBorder="1" applyAlignment="1">
      <alignment horizontal="center" vertical="center" wrapText="1"/>
    </xf>
    <xf numFmtId="0" fontId="51" fillId="16" borderId="9" xfId="0" applyFont="1" applyFill="1" applyBorder="1" applyAlignment="1">
      <alignment horizontal="center" wrapText="1"/>
    </xf>
    <xf numFmtId="0" fontId="51" fillId="16" borderId="25" xfId="0" applyFont="1" applyFill="1" applyBorder="1" applyAlignment="1">
      <alignment horizontal="center" wrapText="1"/>
    </xf>
    <xf numFmtId="0" fontId="51" fillId="16" borderId="13" xfId="0" applyFont="1" applyFill="1" applyBorder="1" applyAlignment="1">
      <alignment horizontal="center" vertical="center" wrapText="1"/>
    </xf>
    <xf numFmtId="0" fontId="51" fillId="16" borderId="35" xfId="0" applyFont="1" applyFill="1" applyBorder="1" applyAlignment="1">
      <alignment horizontal="center" vertical="center" wrapText="1"/>
    </xf>
    <xf numFmtId="0" fontId="51" fillId="6" borderId="3" xfId="0" applyFont="1" applyFill="1" applyBorder="1" applyAlignment="1">
      <alignment horizontal="center" wrapText="1"/>
    </xf>
    <xf numFmtId="0" fontId="50" fillId="6" borderId="3" xfId="0" applyFont="1" applyFill="1" applyBorder="1" applyAlignment="1">
      <alignment horizontal="center"/>
    </xf>
    <xf numFmtId="0" fontId="50" fillId="0" borderId="0" xfId="0" applyFont="1" applyAlignment="1">
      <alignment horizontal="left"/>
    </xf>
    <xf numFmtId="0" fontId="51" fillId="0" borderId="0" xfId="0" applyFont="1" applyAlignment="1">
      <alignment horizontal="center"/>
    </xf>
    <xf numFmtId="0" fontId="88" fillId="6" borderId="7" xfId="0" applyFont="1" applyFill="1" applyBorder="1" applyAlignment="1">
      <alignment horizontal="center" vertical="center" wrapText="1"/>
    </xf>
    <xf numFmtId="0" fontId="88" fillId="6" borderId="10" xfId="0" applyFont="1" applyFill="1" applyBorder="1" applyAlignment="1">
      <alignment horizontal="center" vertical="center" wrapText="1"/>
    </xf>
    <xf numFmtId="0" fontId="88" fillId="6" borderId="39" xfId="0" applyFont="1" applyFill="1" applyBorder="1" applyAlignment="1">
      <alignment horizontal="center" vertical="center" wrapText="1"/>
    </xf>
    <xf numFmtId="0" fontId="88" fillId="6" borderId="34" xfId="0" applyFont="1" applyFill="1" applyBorder="1" applyAlignment="1">
      <alignment horizontal="center" vertical="center" wrapText="1"/>
    </xf>
    <xf numFmtId="0" fontId="88" fillId="6" borderId="17" xfId="0" applyFont="1" applyFill="1" applyBorder="1" applyAlignment="1">
      <alignment horizontal="center" vertical="center" wrapText="1"/>
    </xf>
    <xf numFmtId="0" fontId="51" fillId="14" borderId="3" xfId="0" applyFont="1" applyFill="1" applyBorder="1" applyAlignment="1">
      <alignment horizontal="center" vertical="center" wrapText="1"/>
    </xf>
    <xf numFmtId="0" fontId="51" fillId="16" borderId="3" xfId="0" applyFont="1" applyFill="1" applyBorder="1" applyAlignment="1">
      <alignment horizontal="center" vertical="center" wrapText="1"/>
    </xf>
    <xf numFmtId="0" fontId="51" fillId="6" borderId="3" xfId="0" applyFont="1" applyFill="1" applyBorder="1" applyAlignment="1">
      <alignment horizontal="center" vertical="center" wrapText="1"/>
    </xf>
    <xf numFmtId="0" fontId="51" fillId="16" borderId="4" xfId="0" applyFont="1" applyFill="1" applyBorder="1" applyAlignment="1">
      <alignment horizontal="center" vertical="center" wrapText="1"/>
    </xf>
    <xf numFmtId="0" fontId="51" fillId="16" borderId="17" xfId="0" applyFont="1" applyFill="1" applyBorder="1" applyAlignment="1">
      <alignment horizontal="center" vertical="center" wrapText="1"/>
    </xf>
    <xf numFmtId="0" fontId="98" fillId="0" borderId="24" xfId="0" applyFont="1" applyFill="1" applyBorder="1" applyAlignment="1">
      <alignment horizontal="center"/>
    </xf>
    <xf numFmtId="0" fontId="98" fillId="0" borderId="25" xfId="0" applyFont="1" applyFill="1" applyBorder="1" applyAlignment="1">
      <alignment horizontal="center"/>
    </xf>
    <xf numFmtId="0" fontId="98" fillId="0" borderId="78" xfId="0" applyFont="1" applyFill="1" applyBorder="1" applyAlignment="1">
      <alignment horizontal="center"/>
    </xf>
    <xf numFmtId="0" fontId="95" fillId="0" borderId="85" xfId="0" applyFont="1" applyFill="1" applyBorder="1" applyAlignment="1">
      <alignment horizontal="center"/>
    </xf>
    <xf numFmtId="0" fontId="95" fillId="0" borderId="86" xfId="0" applyFont="1" applyFill="1" applyBorder="1" applyAlignment="1">
      <alignment horizontal="center"/>
    </xf>
    <xf numFmtId="0" fontId="95" fillId="0" borderId="87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167" fontId="51" fillId="0" borderId="9" xfId="2" applyNumberFormat="1" applyFont="1" applyFill="1" applyBorder="1" applyAlignment="1">
      <alignment horizontal="center" vertical="center" wrapText="1"/>
    </xf>
    <xf numFmtId="167" fontId="51" fillId="0" borderId="25" xfId="2" applyNumberFormat="1" applyFont="1" applyFill="1" applyBorder="1" applyAlignment="1">
      <alignment horizontal="center" vertical="center" wrapText="1"/>
    </xf>
    <xf numFmtId="167" fontId="51" fillId="0" borderId="84" xfId="2" applyNumberFormat="1" applyFont="1" applyFill="1" applyBorder="1" applyAlignment="1">
      <alignment horizontal="center" vertical="center" wrapText="1"/>
    </xf>
    <xf numFmtId="168" fontId="51" fillId="0" borderId="3" xfId="2" applyNumberFormat="1" applyFont="1" applyFill="1" applyBorder="1" applyAlignment="1">
      <alignment horizontal="center" wrapText="1"/>
    </xf>
    <xf numFmtId="168" fontId="51" fillId="0" borderId="12" xfId="2" applyNumberFormat="1" applyFont="1" applyFill="1" applyBorder="1" applyAlignment="1">
      <alignment horizontal="center" wrapText="1"/>
    </xf>
    <xf numFmtId="0" fontId="51" fillId="0" borderId="3" xfId="0" applyFont="1" applyFill="1" applyBorder="1" applyAlignment="1">
      <alignment horizontal="center"/>
    </xf>
    <xf numFmtId="0" fontId="51" fillId="0" borderId="12" xfId="0" applyFont="1" applyFill="1" applyBorder="1" applyAlignment="1">
      <alignment horizontal="center"/>
    </xf>
    <xf numFmtId="0" fontId="51" fillId="0" borderId="3" xfId="0" applyFont="1" applyFill="1" applyBorder="1" applyAlignment="1">
      <alignment horizontal="center" wrapText="1"/>
    </xf>
    <xf numFmtId="0" fontId="51" fillId="0" borderId="12" xfId="0" applyFont="1" applyFill="1" applyBorder="1" applyAlignment="1">
      <alignment horizontal="center" wrapText="1"/>
    </xf>
    <xf numFmtId="168" fontId="51" fillId="0" borderId="3" xfId="0" applyNumberFormat="1" applyFont="1" applyFill="1" applyBorder="1" applyAlignment="1">
      <alignment horizontal="center" wrapText="1"/>
    </xf>
    <xf numFmtId="168" fontId="51" fillId="0" borderId="12" xfId="0" applyNumberFormat="1" applyFont="1" applyFill="1" applyBorder="1" applyAlignment="1">
      <alignment horizontal="center" wrapText="1"/>
    </xf>
    <xf numFmtId="0" fontId="51" fillId="0" borderId="4" xfId="0" applyFont="1" applyFill="1" applyBorder="1" applyAlignment="1">
      <alignment horizontal="center" vertical="center" wrapText="1"/>
    </xf>
    <xf numFmtId="0" fontId="51" fillId="0" borderId="67" xfId="0" applyFont="1" applyFill="1" applyBorder="1" applyAlignment="1">
      <alignment horizontal="center" vertical="center" wrapText="1"/>
    </xf>
    <xf numFmtId="173" fontId="88" fillId="0" borderId="3" xfId="13" applyNumberFormat="1" applyFont="1" applyFill="1" applyBorder="1" applyAlignment="1">
      <alignment horizontal="center" vertical="center"/>
    </xf>
    <xf numFmtId="173" fontId="88" fillId="0" borderId="12" xfId="13" applyNumberFormat="1" applyFont="1" applyFill="1" applyBorder="1" applyAlignment="1">
      <alignment horizontal="center" vertical="center"/>
    </xf>
    <xf numFmtId="173" fontId="88" fillId="0" borderId="3" xfId="13" applyNumberFormat="1" applyFont="1" applyFill="1" applyBorder="1" applyAlignment="1">
      <alignment horizontal="center" vertical="center" wrapText="1"/>
    </xf>
    <xf numFmtId="173" fontId="88" fillId="0" borderId="12" xfId="13" applyNumberFormat="1" applyFont="1" applyFill="1" applyBorder="1" applyAlignment="1">
      <alignment horizontal="center" vertical="center" wrapText="1"/>
    </xf>
    <xf numFmtId="0" fontId="88" fillId="0" borderId="20" xfId="13" applyNumberFormat="1" applyFont="1" applyFill="1" applyBorder="1" applyAlignment="1">
      <alignment horizontal="center" vertical="center" wrapText="1"/>
    </xf>
    <xf numFmtId="0" fontId="88" fillId="0" borderId="22" xfId="13" applyNumberFormat="1" applyFont="1" applyFill="1" applyBorder="1" applyAlignment="1">
      <alignment horizontal="center" vertical="center" wrapText="1"/>
    </xf>
    <xf numFmtId="167" fontId="51" fillId="0" borderId="3" xfId="2" applyNumberFormat="1" applyFont="1" applyFill="1" applyBorder="1" applyAlignment="1">
      <alignment horizontal="center" wrapText="1"/>
    </xf>
    <xf numFmtId="167" fontId="51" fillId="0" borderId="12" xfId="2" applyNumberFormat="1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center" vertical="center" wrapText="1"/>
    </xf>
    <xf numFmtId="167" fontId="51" fillId="0" borderId="3" xfId="2" applyNumberFormat="1" applyFont="1" applyFill="1" applyBorder="1" applyAlignment="1">
      <alignment horizontal="center" vertical="center" wrapText="1"/>
    </xf>
    <xf numFmtId="167" fontId="51" fillId="0" borderId="12" xfId="2" applyNumberFormat="1" applyFont="1" applyFill="1" applyBorder="1" applyAlignment="1">
      <alignment horizontal="center" vertical="center" wrapText="1"/>
    </xf>
    <xf numFmtId="0" fontId="10" fillId="0" borderId="74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10" fontId="51" fillId="0" borderId="3" xfId="13" applyNumberFormat="1" applyFont="1" applyFill="1" applyBorder="1" applyAlignment="1">
      <alignment horizontal="center" vertical="center" wrapText="1"/>
    </xf>
    <xf numFmtId="10" fontId="51" fillId="0" borderId="12" xfId="13" applyNumberFormat="1" applyFont="1" applyFill="1" applyBorder="1" applyAlignment="1">
      <alignment horizontal="center" vertical="center" wrapText="1"/>
    </xf>
    <xf numFmtId="167" fontId="88" fillId="0" borderId="3" xfId="2" applyNumberFormat="1" applyFont="1" applyFill="1" applyBorder="1" applyAlignment="1">
      <alignment horizontal="center" vertical="center" wrapText="1"/>
    </xf>
    <xf numFmtId="167" fontId="88" fillId="0" borderId="12" xfId="2" applyNumberFormat="1" applyFont="1" applyFill="1" applyBorder="1" applyAlignment="1">
      <alignment horizontal="center" vertical="center" wrapText="1"/>
    </xf>
    <xf numFmtId="0" fontId="102" fillId="0" borderId="10" xfId="0" applyFont="1" applyFill="1" applyBorder="1" applyAlignment="1">
      <alignment horizontal="center" vertical="center" wrapText="1"/>
    </xf>
    <xf numFmtId="0" fontId="102" fillId="0" borderId="3" xfId="0" applyFont="1" applyFill="1" applyBorder="1" applyAlignment="1">
      <alignment horizontal="center" vertical="center" wrapText="1"/>
    </xf>
    <xf numFmtId="168" fontId="86" fillId="0" borderId="3" xfId="0" applyNumberFormat="1" applyFont="1" applyFill="1" applyBorder="1" applyAlignment="1">
      <alignment horizontal="center" vertical="center"/>
    </xf>
    <xf numFmtId="0" fontId="55" fillId="0" borderId="3" xfId="0" applyFont="1" applyFill="1" applyBorder="1" applyAlignment="1">
      <alignment horizontal="center"/>
    </xf>
    <xf numFmtId="0" fontId="91" fillId="0" borderId="3" xfId="0" applyFont="1" applyFill="1" applyBorder="1" applyAlignment="1">
      <alignment horizontal="center"/>
    </xf>
    <xf numFmtId="167" fontId="49" fillId="0" borderId="4" xfId="2" applyNumberFormat="1" applyFont="1" applyFill="1" applyBorder="1" applyAlignment="1">
      <alignment horizontal="center" vertical="center" wrapText="1"/>
    </xf>
    <xf numFmtId="167" fontId="49" fillId="0" borderId="34" xfId="2" applyNumberFormat="1" applyFont="1" applyFill="1" applyBorder="1" applyAlignment="1">
      <alignment horizontal="center" vertical="center" wrapText="1"/>
    </xf>
    <xf numFmtId="167" fontId="49" fillId="0" borderId="17" xfId="2" applyNumberFormat="1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wrapText="1"/>
    </xf>
    <xf numFmtId="0" fontId="54" fillId="0" borderId="3" xfId="0" applyFont="1" applyFill="1" applyBorder="1" applyAlignment="1">
      <alignment horizontal="center" wrapText="1"/>
    </xf>
    <xf numFmtId="0" fontId="54" fillId="0" borderId="34" xfId="0" applyFont="1" applyFill="1" applyBorder="1" applyAlignment="1">
      <alignment horizontal="center" vertical="center" wrapText="1"/>
    </xf>
    <xf numFmtId="167" fontId="48" fillId="0" borderId="13" xfId="2" applyNumberFormat="1" applyFont="1" applyFill="1" applyBorder="1" applyAlignment="1">
      <alignment horizontal="center" vertical="center" wrapText="1"/>
    </xf>
    <xf numFmtId="167" fontId="48" fillId="0" borderId="35" xfId="2" applyNumberFormat="1" applyFont="1" applyFill="1" applyBorder="1" applyAlignment="1">
      <alignment horizontal="center" vertical="center" wrapText="1"/>
    </xf>
    <xf numFmtId="167" fontId="48" fillId="0" borderId="4" xfId="2" applyNumberFormat="1" applyFont="1" applyFill="1" applyBorder="1" applyAlignment="1">
      <alignment horizontal="center" vertical="center" wrapText="1"/>
    </xf>
    <xf numFmtId="167" fontId="48" fillId="0" borderId="17" xfId="2" applyNumberFormat="1" applyFont="1" applyFill="1" applyBorder="1" applyAlignment="1">
      <alignment horizontal="center" vertical="center" wrapText="1"/>
    </xf>
    <xf numFmtId="167" fontId="48" fillId="0" borderId="3" xfId="2" applyNumberFormat="1" applyFont="1" applyFill="1" applyBorder="1" applyAlignment="1">
      <alignment horizontal="center" vertical="center"/>
    </xf>
    <xf numFmtId="167" fontId="48" fillId="0" borderId="1" xfId="2" applyNumberFormat="1" applyFont="1" applyFill="1" applyBorder="1" applyAlignment="1">
      <alignment horizontal="center" vertical="center" wrapText="1"/>
    </xf>
    <xf numFmtId="167" fontId="48" fillId="0" borderId="2" xfId="2" applyNumberFormat="1" applyFont="1" applyFill="1" applyBorder="1" applyAlignment="1">
      <alignment horizontal="center" vertical="center" wrapText="1"/>
    </xf>
    <xf numFmtId="167" fontId="48" fillId="0" borderId="15" xfId="2" applyNumberFormat="1" applyFont="1" applyFill="1" applyBorder="1" applyAlignment="1">
      <alignment horizontal="center" vertical="center" wrapText="1"/>
    </xf>
    <xf numFmtId="167" fontId="48" fillId="0" borderId="34" xfId="2" applyNumberFormat="1" applyFont="1" applyFill="1" applyBorder="1" applyAlignment="1">
      <alignment horizontal="center" vertical="center" wrapText="1"/>
    </xf>
    <xf numFmtId="0" fontId="51" fillId="0" borderId="34" xfId="0" applyFont="1" applyFill="1" applyBorder="1" applyAlignment="1">
      <alignment horizontal="center" vertical="center" wrapText="1"/>
    </xf>
    <xf numFmtId="0" fontId="51" fillId="0" borderId="17" xfId="0" applyFont="1" applyFill="1" applyBorder="1" applyAlignment="1">
      <alignment horizontal="center" vertical="center" wrapText="1"/>
    </xf>
    <xf numFmtId="0" fontId="88" fillId="0" borderId="4" xfId="0" applyFont="1" applyFill="1" applyBorder="1" applyAlignment="1">
      <alignment horizontal="center" vertical="center" wrapText="1"/>
    </xf>
    <xf numFmtId="0" fontId="88" fillId="0" borderId="34" xfId="0" applyFont="1" applyFill="1" applyBorder="1" applyAlignment="1">
      <alignment horizontal="center" vertical="center" wrapText="1"/>
    </xf>
    <xf numFmtId="0" fontId="88" fillId="0" borderId="17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/>
    </xf>
    <xf numFmtId="167" fontId="48" fillId="0" borderId="17" xfId="2" applyNumberFormat="1" applyFont="1" applyFill="1" applyBorder="1" applyAlignment="1">
      <alignment horizontal="center" vertical="center"/>
    </xf>
    <xf numFmtId="0" fontId="51" fillId="0" borderId="17" xfId="0" applyFont="1" applyFill="1" applyBorder="1" applyAlignment="1">
      <alignment horizontal="center" vertical="center"/>
    </xf>
    <xf numFmtId="0" fontId="54" fillId="0" borderId="3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50" fillId="0" borderId="0" xfId="0" applyFont="1" applyFill="1" applyAlignment="1">
      <alignment wrapText="1"/>
    </xf>
    <xf numFmtId="167" fontId="50" fillId="0" borderId="0" xfId="2" applyNumberFormat="1" applyFont="1" applyFill="1" applyBorder="1" applyAlignment="1">
      <alignment horizontal="center"/>
    </xf>
    <xf numFmtId="0" fontId="48" fillId="0" borderId="4" xfId="0" applyFont="1" applyFill="1" applyBorder="1" applyAlignment="1">
      <alignment horizontal="center" vertical="center"/>
    </xf>
    <xf numFmtId="0" fontId="48" fillId="0" borderId="34" xfId="0" applyFont="1" applyFill="1" applyBorder="1" applyAlignment="1">
      <alignment horizontal="center" vertical="center"/>
    </xf>
    <xf numFmtId="0" fontId="48" fillId="0" borderId="17" xfId="0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 wrapText="1"/>
    </xf>
    <xf numFmtId="0" fontId="48" fillId="0" borderId="34" xfId="0" applyFont="1" applyFill="1" applyBorder="1" applyAlignment="1">
      <alignment horizontal="center" vertical="center" wrapText="1"/>
    </xf>
    <xf numFmtId="0" fontId="48" fillId="0" borderId="17" xfId="0" applyFont="1" applyFill="1" applyBorder="1" applyAlignment="1">
      <alignment horizontal="center" vertical="center" wrapText="1"/>
    </xf>
    <xf numFmtId="167" fontId="48" fillId="0" borderId="3" xfId="2" applyNumberFormat="1" applyFont="1" applyFill="1" applyBorder="1" applyAlignment="1">
      <alignment horizontal="center" vertical="center" wrapText="1"/>
    </xf>
    <xf numFmtId="167" fontId="49" fillId="0" borderId="3" xfId="2" applyNumberFormat="1" applyFont="1" applyFill="1" applyBorder="1" applyAlignment="1">
      <alignment horizontal="center" vertical="center" wrapText="1"/>
    </xf>
    <xf numFmtId="0" fontId="62" fillId="11" borderId="14" xfId="0" applyFont="1" applyFill="1" applyBorder="1" applyAlignment="1">
      <alignment horizontal="center" vertical="center"/>
    </xf>
    <xf numFmtId="0" fontId="62" fillId="11" borderId="2" xfId="0" applyFont="1" applyFill="1" applyBorder="1" applyAlignment="1">
      <alignment horizontal="center" vertical="center"/>
    </xf>
    <xf numFmtId="0" fontId="62" fillId="11" borderId="3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2" fillId="0" borderId="14" xfId="0" applyFont="1" applyBorder="1" applyAlignment="1">
      <alignment horizontal="center" vertical="center"/>
    </xf>
    <xf numFmtId="0" fontId="62" fillId="0" borderId="2" xfId="0" applyFont="1" applyBorder="1" applyAlignment="1">
      <alignment horizontal="center" vertical="center"/>
    </xf>
    <xf numFmtId="0" fontId="62" fillId="0" borderId="32" xfId="0" applyFont="1" applyBorder="1" applyAlignment="1">
      <alignment horizontal="center" vertical="center"/>
    </xf>
    <xf numFmtId="0" fontId="50" fillId="0" borderId="42" xfId="0" applyFont="1" applyBorder="1" applyAlignment="1">
      <alignment vertical="center" wrapText="1"/>
    </xf>
    <xf numFmtId="0" fontId="50" fillId="0" borderId="46" xfId="0" applyFont="1" applyBorder="1" applyAlignment="1">
      <alignment vertical="center" wrapText="1"/>
    </xf>
    <xf numFmtId="0" fontId="88" fillId="0" borderId="44" xfId="10" applyFont="1" applyBorder="1" applyAlignment="1">
      <alignment vertical="center" wrapText="1"/>
    </xf>
    <xf numFmtId="0" fontId="88" fillId="0" borderId="3" xfId="10" applyFont="1" applyBorder="1" applyAlignment="1">
      <alignment vertical="center" wrapText="1"/>
    </xf>
    <xf numFmtId="0" fontId="88" fillId="0" borderId="44" xfId="10" applyFont="1" applyBorder="1" applyAlignment="1">
      <alignment horizontal="center"/>
    </xf>
    <xf numFmtId="0" fontId="88" fillId="0" borderId="3" xfId="10" applyFont="1" applyBorder="1" applyAlignment="1">
      <alignment horizontal="center"/>
    </xf>
    <xf numFmtId="166" fontId="88" fillId="0" borderId="3" xfId="11" applyNumberFormat="1" applyFont="1" applyBorder="1" applyAlignment="1">
      <alignment horizontal="center"/>
    </xf>
    <xf numFmtId="0" fontId="50" fillId="0" borderId="0" xfId="0" applyFont="1" applyAlignment="1">
      <alignment horizontal="center"/>
    </xf>
    <xf numFmtId="0" fontId="50" fillId="0" borderId="75" xfId="0" applyFont="1" applyBorder="1" applyAlignment="1">
      <alignment horizontal="center"/>
    </xf>
    <xf numFmtId="0" fontId="86" fillId="0" borderId="57" xfId="0" applyFont="1" applyBorder="1" applyAlignment="1">
      <alignment horizontal="left" vertical="center" wrapText="1"/>
    </xf>
    <xf numFmtId="0" fontId="50" fillId="0" borderId="46" xfId="0" applyFont="1" applyBorder="1" applyAlignment="1">
      <alignment horizontal="left" vertical="center" wrapText="1"/>
    </xf>
    <xf numFmtId="0" fontId="50" fillId="0" borderId="53" xfId="0" applyFont="1" applyBorder="1" applyAlignment="1">
      <alignment horizontal="left" vertical="center" wrapText="1"/>
    </xf>
    <xf numFmtId="49" fontId="50" fillId="0" borderId="49" xfId="0" applyNumberFormat="1" applyFont="1" applyBorder="1" applyAlignment="1">
      <alignment horizontal="left" vertical="center" wrapText="1"/>
    </xf>
    <xf numFmtId="49" fontId="50" fillId="0" borderId="51" xfId="0" applyNumberFormat="1" applyFont="1" applyBorder="1" applyAlignment="1">
      <alignment horizontal="left" vertical="center" wrapText="1"/>
    </xf>
    <xf numFmtId="49" fontId="50" fillId="0" borderId="52" xfId="0" applyNumberFormat="1" applyFont="1" applyBorder="1" applyAlignment="1">
      <alignment horizontal="left" vertical="center" wrapText="1"/>
    </xf>
    <xf numFmtId="0" fontId="86" fillId="0" borderId="54" xfId="0" applyFont="1" applyBorder="1" applyAlignment="1">
      <alignment vertical="center" wrapText="1"/>
    </xf>
    <xf numFmtId="0" fontId="86" fillId="0" borderId="51" xfId="0" applyFont="1" applyBorder="1" applyAlignment="1">
      <alignment vertical="center" wrapText="1"/>
    </xf>
    <xf numFmtId="0" fontId="86" fillId="0" borderId="52" xfId="0" applyFont="1" applyBorder="1" applyAlignment="1">
      <alignment vertical="center" wrapText="1"/>
    </xf>
    <xf numFmtId="0" fontId="86" fillId="0" borderId="57" xfId="0" applyFont="1" applyBorder="1" applyAlignment="1">
      <alignment vertical="center" wrapText="1"/>
    </xf>
    <xf numFmtId="0" fontId="86" fillId="0" borderId="46" xfId="0" applyFont="1" applyBorder="1" applyAlignment="1">
      <alignment vertical="center" wrapText="1"/>
    </xf>
    <xf numFmtId="0" fontId="86" fillId="0" borderId="53" xfId="0" applyFont="1" applyBorder="1" applyAlignment="1">
      <alignment vertical="center" wrapText="1"/>
    </xf>
    <xf numFmtId="166" fontId="86" fillId="0" borderId="48" xfId="11" applyNumberFormat="1" applyFont="1" applyBorder="1" applyAlignment="1">
      <alignment horizontal="center" vertical="center" wrapText="1"/>
    </xf>
    <xf numFmtId="0" fontId="86" fillId="0" borderId="3" xfId="10" applyFont="1" applyBorder="1" applyAlignment="1">
      <alignment horizontal="center" vertical="center" wrapText="1"/>
    </xf>
    <xf numFmtId="0" fontId="86" fillId="0" borderId="4" xfId="1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 wrapText="1"/>
    </xf>
    <xf numFmtId="165" fontId="86" fillId="0" borderId="3" xfId="11" applyFont="1" applyBorder="1" applyAlignment="1">
      <alignment horizontal="center" vertical="center" wrapText="1"/>
    </xf>
    <xf numFmtId="165" fontId="86" fillId="0" borderId="3" xfId="11" applyNumberFormat="1" applyFont="1" applyBorder="1" applyAlignment="1">
      <alignment vertical="center" wrapText="1"/>
    </xf>
    <xf numFmtId="0" fontId="0" fillId="0" borderId="0" xfId="0" applyAlignment="1">
      <alignment horizontal="left"/>
    </xf>
    <xf numFmtId="0" fontId="68" fillId="0" borderId="42" xfId="0" applyFont="1" applyBorder="1" applyAlignment="1">
      <alignment horizontal="center"/>
    </xf>
    <xf numFmtId="0" fontId="67" fillId="0" borderId="60" xfId="0" applyFont="1" applyBorder="1" applyAlignment="1">
      <alignment horizontal="center"/>
    </xf>
    <xf numFmtId="0" fontId="67" fillId="0" borderId="61" xfId="0" applyFont="1" applyBorder="1" applyAlignment="1">
      <alignment horizontal="center"/>
    </xf>
    <xf numFmtId="0" fontId="68" fillId="0" borderId="46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center" vertical="center" wrapText="1"/>
    </xf>
    <xf numFmtId="0" fontId="67" fillId="0" borderId="6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8" fillId="0" borderId="0" xfId="0" applyFont="1" applyAlignment="1" applyProtection="1">
      <alignment horizontal="center" vertical="center" wrapText="1"/>
      <protection locked="0"/>
    </xf>
    <xf numFmtId="0" fontId="73" fillId="0" borderId="63" xfId="0" applyFont="1" applyBorder="1" applyAlignment="1">
      <alignment horizontal="center" vertical="center" wrapText="1"/>
    </xf>
    <xf numFmtId="0" fontId="73" fillId="0" borderId="65" xfId="0" applyFont="1" applyBorder="1" applyAlignment="1">
      <alignment horizontal="center" vertical="center" wrapText="1"/>
    </xf>
    <xf numFmtId="0" fontId="73" fillId="0" borderId="66" xfId="0" applyFont="1" applyBorder="1" applyAlignment="1">
      <alignment horizontal="center" vertical="center" wrapText="1"/>
    </xf>
    <xf numFmtId="0" fontId="73" fillId="0" borderId="39" xfId="0" applyFont="1" applyBorder="1" applyAlignment="1">
      <alignment horizontal="center" vertical="center" wrapText="1"/>
    </xf>
    <xf numFmtId="0" fontId="73" fillId="0" borderId="34" xfId="0" applyFont="1" applyBorder="1" applyAlignment="1">
      <alignment horizontal="center" vertical="center" wrapText="1"/>
    </xf>
    <xf numFmtId="0" fontId="73" fillId="0" borderId="67" xfId="0" applyFont="1" applyBorder="1" applyAlignment="1">
      <alignment horizontal="center" vertical="center" wrapText="1"/>
    </xf>
    <xf numFmtId="0" fontId="73" fillId="0" borderId="36" xfId="0" applyFont="1" applyBorder="1" applyAlignment="1">
      <alignment horizontal="center" vertical="center" wrapText="1"/>
    </xf>
    <xf numFmtId="0" fontId="73" fillId="0" borderId="37" xfId="0" applyFont="1" applyBorder="1" applyAlignment="1">
      <alignment horizontal="center" vertical="center" wrapText="1"/>
    </xf>
    <xf numFmtId="0" fontId="73" fillId="0" borderId="35" xfId="0" applyFont="1" applyBorder="1" applyAlignment="1">
      <alignment horizontal="center" vertical="center" wrapText="1"/>
    </xf>
    <xf numFmtId="0" fontId="73" fillId="0" borderId="6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 wrapText="1"/>
    </xf>
    <xf numFmtId="0" fontId="73" fillId="0" borderId="29" xfId="0" applyFont="1" applyBorder="1" applyAlignment="1">
      <alignment horizontal="center" vertical="center" wrapText="1"/>
    </xf>
    <xf numFmtId="0" fontId="73" fillId="0" borderId="68" xfId="0" applyFont="1" applyBorder="1" applyAlignment="1">
      <alignment horizontal="center" vertical="center" wrapText="1"/>
    </xf>
    <xf numFmtId="0" fontId="76" fillId="0" borderId="3" xfId="12" applyFont="1" applyBorder="1" applyAlignment="1">
      <alignment horizontal="center" textRotation="90"/>
    </xf>
    <xf numFmtId="0" fontId="76" fillId="0" borderId="4" xfId="12" applyFont="1" applyBorder="1" applyAlignment="1">
      <alignment horizontal="center"/>
    </xf>
    <xf numFmtId="0" fontId="76" fillId="0" borderId="17" xfId="12" applyFont="1" applyBorder="1" applyAlignment="1">
      <alignment horizontal="center"/>
    </xf>
    <xf numFmtId="0" fontId="76" fillId="0" borderId="4" xfId="12" applyFont="1" applyBorder="1" applyAlignment="1">
      <alignment horizontal="center" wrapText="1"/>
    </xf>
    <xf numFmtId="0" fontId="76" fillId="0" borderId="17" xfId="12" applyFont="1" applyBorder="1" applyAlignment="1">
      <alignment horizontal="center" wrapText="1"/>
    </xf>
    <xf numFmtId="0" fontId="0" fillId="0" borderId="2" xfId="0" applyBorder="1"/>
    <xf numFmtId="0" fontId="0" fillId="0" borderId="15" xfId="0" applyBorder="1"/>
    <xf numFmtId="0" fontId="76" fillId="0" borderId="3" xfId="12" applyFont="1" applyBorder="1" applyAlignment="1">
      <alignment horizontal="center"/>
    </xf>
    <xf numFmtId="0" fontId="54" fillId="0" borderId="1" xfId="0" applyFont="1" applyFill="1" applyBorder="1" applyAlignment="1">
      <alignment horizontal="center" vertical="center" wrapText="1"/>
    </xf>
    <xf numFmtId="0" fontId="54" fillId="0" borderId="15" xfId="0" applyFont="1" applyFill="1" applyBorder="1" applyAlignment="1">
      <alignment horizontal="center" vertical="center" wrapText="1"/>
    </xf>
    <xf numFmtId="167" fontId="124" fillId="20" borderId="3" xfId="2" applyNumberFormat="1" applyFont="1" applyFill="1" applyBorder="1" applyAlignment="1">
      <alignment horizontal="right"/>
    </xf>
    <xf numFmtId="168" fontId="43" fillId="20" borderId="3" xfId="0" applyNumberFormat="1" applyFont="1" applyFill="1" applyBorder="1" applyAlignment="1">
      <alignment vertical="center"/>
    </xf>
    <xf numFmtId="168" fontId="43" fillId="20" borderId="3" xfId="7" applyNumberFormat="1" applyFont="1" applyFill="1" applyBorder="1" applyAlignment="1">
      <alignment horizontal="right" vertical="top"/>
    </xf>
  </cellXfs>
  <cellStyles count="15">
    <cellStyle name="Ezres" xfId="1" builtinId="3"/>
    <cellStyle name="Ezres 2" xfId="7" xr:uid="{00000000-0005-0000-0000-000001000000}"/>
    <cellStyle name="Ezres 3" xfId="5" xr:uid="{00000000-0005-0000-0000-000002000000}"/>
    <cellStyle name="Ezres 4 2" xfId="11" xr:uid="{00000000-0005-0000-0000-000003000000}"/>
    <cellStyle name="Normál" xfId="0" builtinId="0"/>
    <cellStyle name="Normál 2" xfId="9" xr:uid="{00000000-0005-0000-0000-000005000000}"/>
    <cellStyle name="Normál 2 3" xfId="14" xr:uid="{00000000-0005-0000-0000-000006000000}"/>
    <cellStyle name="Normál 3" xfId="8" xr:uid="{00000000-0005-0000-0000-000007000000}"/>
    <cellStyle name="Normál_2012létszám tábla" xfId="10" xr:uid="{00000000-0005-0000-0000-000008000000}"/>
    <cellStyle name="Normál_3.eredeti  2009. évi költségvetés 2-13 mell." xfId="12" xr:uid="{00000000-0005-0000-0000-000009000000}"/>
    <cellStyle name="Pénznem" xfId="2" builtinId="4"/>
    <cellStyle name="Pénznem 2" xfId="4" xr:uid="{00000000-0005-0000-0000-00000B000000}"/>
    <cellStyle name="Pénznem 3" xfId="6" xr:uid="{00000000-0005-0000-0000-00000C000000}"/>
    <cellStyle name="Százalék" xfId="13" builtinId="5"/>
    <cellStyle name="TableStyleLight1" xfId="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z/Desktop/R&#225;k&#243;czifalva/2017%20&#233;vi%20k&#246;lts&#233;gvet&#233;s/V&#233;gleges%20k&#246;lts&#233;gvet&#233;s%202017/2017%20&#233;vi%20k&#246;lts&#233;gvet&#233;s%20mell&#233;kleteinek%20t&#225;bl&#225;zata%20R&#225;k&#243;czifalva%20V&#225;ros%20&#214;nkorm&#225;nyz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ea/Downloads/V&#233;gleges%20-%202022.&#233;vi%20k&#246;lts&#233;gvetes%20tablazat2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melléklet-Összevont mérleg"/>
      <sheetName val="2.melléklÖnkormányzati összesen"/>
      <sheetName val="3mell-Önkormányzat bev és kiadá"/>
      <sheetName val="4mell-Önkormányzat Bevétel"/>
      <sheetName val="5melléklet Normatíva 2017"/>
      <sheetName val="6mellékletKözhatalmi bevételek"/>
      <sheetName val="7melléklet Működési bevétel"/>
      <sheetName val="8melléklet Önkormányzat kiadás"/>
      <sheetName val="9melléklet Személyi jell."/>
      <sheetName val="10mell. Dologi kiadások"/>
      <sheetName val="11melléklet Települési támogatá"/>
      <sheetName val="12 melléklet Átadott pénzeszköz"/>
      <sheetName val="13mellBeruházások felújítások"/>
      <sheetName val="14mellIntézményi összesített"/>
      <sheetName val="15mell Óvoda"/>
      <sheetName val="16 mellVarsány Művelődési Ház"/>
      <sheetName val="17 Közös Hivatal költségvetése"/>
      <sheetName val="18 mell Ei felhaszn"/>
      <sheetName val="19 mellEngedélyezett létszám"/>
      <sheetName val="20mell Közvetett tám"/>
      <sheetName val="21mell Adósságot kel"/>
      <sheetName val="22mell Kötelezettsé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4">
          <cell r="F14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matíva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L41"/>
  <sheetViews>
    <sheetView tabSelected="1" view="pageBreakPreview" zoomScaleNormal="100" zoomScaleSheetLayoutView="100" workbookViewId="0">
      <pane xSplit="2" ySplit="8" topLeftCell="W9" activePane="bottomRight" state="frozen"/>
      <selection pane="topRight" activeCell="C1" sqref="C1"/>
      <selection pane="bottomLeft" activeCell="A9" sqref="A9"/>
      <selection pane="bottomRight" activeCell="AE24" sqref="AE24"/>
    </sheetView>
  </sheetViews>
  <sheetFormatPr defaultRowHeight="15"/>
  <cols>
    <col min="1" max="1" width="30" customWidth="1"/>
    <col min="3" max="6" width="18" customWidth="1"/>
    <col min="7" max="7" width="19.42578125" bestFit="1" customWidth="1"/>
    <col min="8" max="12" width="20" customWidth="1"/>
    <col min="13" max="17" width="24.42578125" customWidth="1"/>
    <col min="18" max="18" width="27.5703125" customWidth="1"/>
    <col min="20" max="24" width="18.28515625" customWidth="1"/>
    <col min="25" max="29" width="21.7109375" customWidth="1"/>
    <col min="30" max="30" width="21.42578125" customWidth="1"/>
    <col min="31" max="31" width="21" customWidth="1"/>
    <col min="32" max="32" width="19.85546875" customWidth="1"/>
    <col min="33" max="33" width="19.28515625" customWidth="1"/>
    <col min="34" max="34" width="21.5703125" customWidth="1"/>
  </cols>
  <sheetData>
    <row r="1" spans="1:34">
      <c r="A1" t="s">
        <v>438</v>
      </c>
    </row>
    <row r="3" spans="1:34">
      <c r="A3" s="1156" t="s">
        <v>911</v>
      </c>
      <c r="B3" s="1156"/>
      <c r="C3" s="1156"/>
      <c r="D3" s="1156"/>
      <c r="E3" s="1156"/>
      <c r="F3" s="1156"/>
      <c r="G3" s="1156"/>
      <c r="H3" s="1156"/>
      <c r="I3" s="1156"/>
      <c r="J3" s="1156"/>
      <c r="K3" s="1156"/>
      <c r="L3" s="1156"/>
      <c r="M3" s="1156"/>
      <c r="N3" s="1156"/>
      <c r="O3" s="1156"/>
      <c r="P3" s="1156"/>
      <c r="Q3" s="1156"/>
      <c r="R3" s="1156"/>
      <c r="S3" s="1156"/>
      <c r="T3" s="1156"/>
      <c r="U3" s="1156"/>
      <c r="V3" s="1156"/>
      <c r="W3" s="1156"/>
      <c r="X3" s="1156"/>
      <c r="Y3" s="1156"/>
      <c r="Z3" s="1156"/>
      <c r="AA3" s="1156"/>
      <c r="AB3" s="1156"/>
      <c r="AC3" s="1156"/>
      <c r="AD3" s="1156"/>
    </row>
    <row r="4" spans="1:34" ht="43.5" customHeight="1">
      <c r="A4" s="1156"/>
      <c r="B4" s="1156"/>
      <c r="C4" s="1156"/>
      <c r="D4" s="1156"/>
      <c r="E4" s="1156"/>
      <c r="F4" s="1156"/>
      <c r="G4" s="1156"/>
      <c r="H4" s="1156"/>
      <c r="I4" s="1156"/>
      <c r="J4" s="1156"/>
      <c r="K4" s="1156"/>
      <c r="L4" s="1156"/>
      <c r="M4" s="1156"/>
      <c r="N4" s="1156"/>
      <c r="O4" s="1156"/>
      <c r="P4" s="1156"/>
      <c r="Q4" s="1156"/>
      <c r="R4" s="1156"/>
      <c r="S4" s="1156"/>
      <c r="T4" s="1156"/>
      <c r="U4" s="1156"/>
      <c r="V4" s="1156"/>
      <c r="W4" s="1156"/>
      <c r="X4" s="1156"/>
      <c r="Y4" s="1156"/>
      <c r="Z4" s="1156"/>
      <c r="AA4" s="1156"/>
      <c r="AB4" s="1156"/>
      <c r="AC4" s="1156"/>
      <c r="AD4" s="1156"/>
    </row>
    <row r="5" spans="1:34">
      <c r="AD5" s="7" t="s">
        <v>307</v>
      </c>
    </row>
    <row r="6" spans="1:34" ht="18">
      <c r="A6" s="1170" t="s">
        <v>331</v>
      </c>
      <c r="B6" s="1171"/>
      <c r="C6" s="1171"/>
      <c r="D6" s="1171"/>
      <c r="E6" s="1171"/>
      <c r="F6" s="1171"/>
      <c r="G6" s="1171"/>
      <c r="H6" s="1171"/>
      <c r="I6" s="1171"/>
      <c r="J6" s="1171"/>
      <c r="K6" s="1171"/>
      <c r="L6" s="1171"/>
      <c r="M6" s="1171"/>
      <c r="N6" s="1171"/>
      <c r="O6" s="1171"/>
      <c r="P6" s="1171"/>
      <c r="Q6" s="1172"/>
      <c r="R6" s="1168" t="s">
        <v>332</v>
      </c>
      <c r="S6" s="1169"/>
      <c r="T6" s="1169"/>
      <c r="U6" s="1169"/>
      <c r="V6" s="1169"/>
      <c r="W6" s="1169"/>
      <c r="X6" s="1169"/>
      <c r="Y6" s="1169"/>
      <c r="Z6" s="1169"/>
      <c r="AA6" s="1169"/>
      <c r="AB6" s="1169"/>
      <c r="AC6" s="1169"/>
      <c r="AD6" s="1169"/>
      <c r="AE6" s="1169"/>
      <c r="AF6" s="1169"/>
      <c r="AG6" s="1169"/>
      <c r="AH6" s="1169"/>
    </row>
    <row r="7" spans="1:34" ht="25.5" customHeight="1">
      <c r="A7" s="1157" t="s">
        <v>333</v>
      </c>
      <c r="B7" s="1159" t="s">
        <v>3</v>
      </c>
      <c r="C7" s="1161" t="s">
        <v>334</v>
      </c>
      <c r="D7" s="1162"/>
      <c r="E7" s="1162"/>
      <c r="F7" s="1162"/>
      <c r="G7" s="1163"/>
      <c r="H7" s="1161" t="s">
        <v>335</v>
      </c>
      <c r="I7" s="1162"/>
      <c r="J7" s="1162"/>
      <c r="K7" s="1162"/>
      <c r="L7" s="1163"/>
      <c r="M7" s="1161" t="s">
        <v>4</v>
      </c>
      <c r="N7" s="1162"/>
      <c r="O7" s="1162"/>
      <c r="P7" s="1162"/>
      <c r="Q7" s="1163"/>
      <c r="R7" s="1164" t="s">
        <v>2</v>
      </c>
      <c r="S7" s="1164" t="s">
        <v>3</v>
      </c>
      <c r="T7" s="1161" t="s">
        <v>334</v>
      </c>
      <c r="U7" s="1162"/>
      <c r="V7" s="1162"/>
      <c r="W7" s="1162"/>
      <c r="X7" s="1163"/>
      <c r="Y7" s="1161" t="s">
        <v>335</v>
      </c>
      <c r="Z7" s="1162"/>
      <c r="AA7" s="1162"/>
      <c r="AB7" s="1162"/>
      <c r="AC7" s="1163"/>
      <c r="AD7" s="1166" t="s">
        <v>4</v>
      </c>
      <c r="AE7" s="1167"/>
      <c r="AF7" s="1167"/>
      <c r="AG7" s="1167"/>
      <c r="AH7" s="1167"/>
    </row>
    <row r="8" spans="1:34" ht="42" customHeight="1">
      <c r="A8" s="1158"/>
      <c r="B8" s="1160"/>
      <c r="C8" s="85" t="s">
        <v>160</v>
      </c>
      <c r="D8" s="85" t="s">
        <v>648</v>
      </c>
      <c r="E8" s="85" t="s">
        <v>643</v>
      </c>
      <c r="F8" s="85" t="s">
        <v>637</v>
      </c>
      <c r="G8" s="85" t="s">
        <v>665</v>
      </c>
      <c r="H8" s="85" t="s">
        <v>160</v>
      </c>
      <c r="I8" s="85" t="s">
        <v>648</v>
      </c>
      <c r="J8" s="85" t="s">
        <v>643</v>
      </c>
      <c r="K8" s="85" t="s">
        <v>637</v>
      </c>
      <c r="L8" s="85" t="s">
        <v>665</v>
      </c>
      <c r="M8" s="85" t="s">
        <v>160</v>
      </c>
      <c r="N8" s="85" t="s">
        <v>648</v>
      </c>
      <c r="O8" s="85" t="s">
        <v>643</v>
      </c>
      <c r="P8" s="85" t="s">
        <v>637</v>
      </c>
      <c r="Q8" s="85" t="s">
        <v>665</v>
      </c>
      <c r="R8" s="1165"/>
      <c r="S8" s="1165"/>
      <c r="T8" s="85" t="s">
        <v>160</v>
      </c>
      <c r="U8" s="85" t="s">
        <v>648</v>
      </c>
      <c r="V8" s="85" t="s">
        <v>643</v>
      </c>
      <c r="W8" s="85" t="s">
        <v>637</v>
      </c>
      <c r="X8" s="85" t="s">
        <v>665</v>
      </c>
      <c r="Y8" s="85" t="s">
        <v>160</v>
      </c>
      <c r="Z8" s="85" t="s">
        <v>648</v>
      </c>
      <c r="AA8" s="85" t="s">
        <v>643</v>
      </c>
      <c r="AB8" s="85" t="s">
        <v>637</v>
      </c>
      <c r="AC8" s="85" t="s">
        <v>665</v>
      </c>
      <c r="AD8" s="85" t="s">
        <v>160</v>
      </c>
      <c r="AE8" s="85" t="s">
        <v>648</v>
      </c>
      <c r="AF8" s="85" t="s">
        <v>643</v>
      </c>
      <c r="AG8" s="85" t="s">
        <v>637</v>
      </c>
      <c r="AH8" s="85" t="s">
        <v>665</v>
      </c>
    </row>
    <row r="9" spans="1:34" ht="30">
      <c r="A9" s="86" t="s">
        <v>336</v>
      </c>
      <c r="B9" s="87" t="s">
        <v>337</v>
      </c>
      <c r="C9" s="88">
        <f>'Mérleg szintű ÖK'!C8</f>
        <v>183368881</v>
      </c>
      <c r="D9" s="88">
        <f>'Mérleg szintű ÖK'!D8</f>
        <v>185908551</v>
      </c>
      <c r="E9" s="88">
        <f>'Mérleg szintű ÖK'!E8</f>
        <v>72715986</v>
      </c>
      <c r="F9" s="223">
        <f>E9/D9</f>
        <v>0.39113846893465382</v>
      </c>
      <c r="G9" s="88">
        <f>D9-E9</f>
        <v>113192565</v>
      </c>
      <c r="H9" s="88">
        <v>0</v>
      </c>
      <c r="I9" s="89"/>
      <c r="J9" s="89"/>
      <c r="K9" s="89"/>
      <c r="L9" s="89"/>
      <c r="M9" s="89">
        <f>SUM(C9,H9)</f>
        <v>183368881</v>
      </c>
      <c r="N9" s="89">
        <f t="shared" ref="N9:O16" si="0">SUM(D9,I9)</f>
        <v>185908551</v>
      </c>
      <c r="O9" s="89">
        <f t="shared" si="0"/>
        <v>72715986</v>
      </c>
      <c r="P9" s="252">
        <f>O9/N9</f>
        <v>0.39113846893465382</v>
      </c>
      <c r="Q9" s="89">
        <f>N9-O9</f>
        <v>113192565</v>
      </c>
      <c r="R9" s="90" t="s">
        <v>338</v>
      </c>
      <c r="S9" s="91" t="s">
        <v>39</v>
      </c>
      <c r="T9" s="92">
        <f>'Mérleg szintű ÖK'!I8</f>
        <v>30085196</v>
      </c>
      <c r="U9" s="92">
        <f>'Mérleg szintű ÖK'!J8</f>
        <v>30440496</v>
      </c>
      <c r="V9" s="92">
        <f>'Mérleg szintű ÖK'!K8</f>
        <v>12621485</v>
      </c>
      <c r="W9" s="250">
        <f>V9/U9</f>
        <v>0.4146280993581708</v>
      </c>
      <c r="X9" s="92">
        <f>U9-V9</f>
        <v>17819011</v>
      </c>
      <c r="Y9" s="92">
        <f>'Intézményi összesen'!M8</f>
        <v>86235313</v>
      </c>
      <c r="Z9" s="92">
        <f>'Intézményi összesen'!N8</f>
        <v>86958595</v>
      </c>
      <c r="AA9" s="92">
        <f>'Intézményi összesen'!O8</f>
        <v>36922580</v>
      </c>
      <c r="AB9" s="250">
        <f>AA9/Z9</f>
        <v>0.42459954648531295</v>
      </c>
      <c r="AC9" s="92">
        <f>Z9-AA9</f>
        <v>50036015</v>
      </c>
      <c r="AD9" s="18">
        <f>SUM(T9,Y9)</f>
        <v>116320509</v>
      </c>
      <c r="AE9" s="18">
        <f t="shared" ref="AE9:AH16" si="1">SUM(U9,Z9)</f>
        <v>117399091</v>
      </c>
      <c r="AF9" s="18">
        <f t="shared" si="1"/>
        <v>49544065</v>
      </c>
      <c r="AG9" s="250">
        <f>AF9/AE9</f>
        <v>0.42201404268113113</v>
      </c>
      <c r="AH9" s="18">
        <f t="shared" si="1"/>
        <v>67855026</v>
      </c>
    </row>
    <row r="10" spans="1:34" ht="56.25" customHeight="1">
      <c r="A10" s="86" t="s">
        <v>339</v>
      </c>
      <c r="B10" s="87" t="s">
        <v>220</v>
      </c>
      <c r="C10" s="88">
        <f>'Mérleg szintű ÖK'!C9</f>
        <v>15070800</v>
      </c>
      <c r="D10" s="88">
        <f>'Mérleg szintű ÖK'!D9</f>
        <v>19329005</v>
      </c>
      <c r="E10" s="88">
        <f>'Mérleg szintű ÖK'!E9</f>
        <v>7328333</v>
      </c>
      <c r="F10" s="223">
        <f t="shared" ref="F10:F14" si="2">E10/D10</f>
        <v>0.37913658773434017</v>
      </c>
      <c r="G10" s="88">
        <f t="shared" ref="G10:G16" si="3">D10-E10</f>
        <v>12000672</v>
      </c>
      <c r="H10" s="88">
        <f>'Intézményi összesen'!M14</f>
        <v>0</v>
      </c>
      <c r="I10" s="88">
        <f>'Intézményi összesen'!N14</f>
        <v>845033</v>
      </c>
      <c r="J10" s="88">
        <f>'Intézményi összesen'!O14</f>
        <v>2806675</v>
      </c>
      <c r="K10" s="252">
        <f>J10/I10</f>
        <v>3.3213791650740268</v>
      </c>
      <c r="L10" s="89">
        <f>I10-J10</f>
        <v>-1961642</v>
      </c>
      <c r="M10" s="89">
        <f t="shared" ref="M10:M22" si="4">SUM(C10,H10)</f>
        <v>15070800</v>
      </c>
      <c r="N10" s="89">
        <f t="shared" si="0"/>
        <v>20174038</v>
      </c>
      <c r="O10" s="89">
        <f t="shared" si="0"/>
        <v>10135008</v>
      </c>
      <c r="P10" s="252">
        <f t="shared" ref="P10:P14" si="5">O10/N10</f>
        <v>0.50237875035230928</v>
      </c>
      <c r="Q10" s="89">
        <f t="shared" ref="Q10:Q16" si="6">N10-O10</f>
        <v>10039030</v>
      </c>
      <c r="R10" s="90" t="s">
        <v>340</v>
      </c>
      <c r="S10" s="93" t="s">
        <v>41</v>
      </c>
      <c r="T10" s="92">
        <f>'Mérleg szintű ÖK'!I9</f>
        <v>3771665.8</v>
      </c>
      <c r="U10" s="92">
        <f>'Mérleg szintű ÖK'!J9</f>
        <v>3771665.8</v>
      </c>
      <c r="V10" s="92">
        <f>'Mérleg szintű ÖK'!K9</f>
        <v>1684234</v>
      </c>
      <c r="W10" s="250">
        <f t="shared" ref="W10:W16" si="7">V10/U10</f>
        <v>0.44654910835419198</v>
      </c>
      <c r="X10" s="92">
        <f t="shared" ref="X10:X16" si="8">U10-V10</f>
        <v>2087431.7999999998</v>
      </c>
      <c r="Y10" s="92">
        <f>'Intézményi összesen'!M9</f>
        <v>10405925</v>
      </c>
      <c r="Z10" s="92">
        <f>'Intézményi összesen'!N9</f>
        <v>10405925</v>
      </c>
      <c r="AA10" s="92">
        <f>'Intézményi összesen'!O9</f>
        <v>5610310</v>
      </c>
      <c r="AB10" s="250">
        <f t="shared" ref="AB10:AB14" si="9">AA10/Z10</f>
        <v>0.53914572707375841</v>
      </c>
      <c r="AC10" s="92">
        <f t="shared" ref="AC10:AC16" si="10">Z10-AA10</f>
        <v>4795615</v>
      </c>
      <c r="AD10" s="18">
        <f t="shared" ref="AD10:AD16" si="11">SUM(T10,Y10)</f>
        <v>14177590.800000001</v>
      </c>
      <c r="AE10" s="18">
        <f t="shared" si="1"/>
        <v>14177590.800000001</v>
      </c>
      <c r="AF10" s="18">
        <f t="shared" si="1"/>
        <v>7294544</v>
      </c>
      <c r="AG10" s="250">
        <f t="shared" ref="AG10:AG15" si="12">AF10/AE10</f>
        <v>0.5145122399780363</v>
      </c>
      <c r="AH10" s="18">
        <f t="shared" si="1"/>
        <v>6883046.7999999998</v>
      </c>
    </row>
    <row r="11" spans="1:34" ht="56.25" customHeight="1">
      <c r="A11" s="86" t="s">
        <v>341</v>
      </c>
      <c r="B11" s="87" t="s">
        <v>342</v>
      </c>
      <c r="C11" s="94">
        <f t="shared" ref="C11:J11" si="13">SUM(C9:C10)</f>
        <v>198439681</v>
      </c>
      <c r="D11" s="94">
        <f t="shared" ref="D11:E11" si="14">SUM(D9:D10)</f>
        <v>205237556</v>
      </c>
      <c r="E11" s="94">
        <f t="shared" si="14"/>
        <v>80044319</v>
      </c>
      <c r="F11" s="223">
        <f t="shared" si="2"/>
        <v>0.39000814743671963</v>
      </c>
      <c r="G11" s="88">
        <f t="shared" si="3"/>
        <v>125193237</v>
      </c>
      <c r="H11" s="94">
        <f t="shared" si="13"/>
        <v>0</v>
      </c>
      <c r="I11" s="94">
        <f t="shared" si="13"/>
        <v>845033</v>
      </c>
      <c r="J11" s="94">
        <f t="shared" si="13"/>
        <v>2806675</v>
      </c>
      <c r="K11" s="252">
        <f>J11/I11</f>
        <v>3.3213791650740268</v>
      </c>
      <c r="L11" s="89">
        <f>I11-J11</f>
        <v>-1961642</v>
      </c>
      <c r="M11" s="89">
        <f t="shared" si="4"/>
        <v>198439681</v>
      </c>
      <c r="N11" s="89">
        <f t="shared" si="0"/>
        <v>206082589</v>
      </c>
      <c r="O11" s="89">
        <f t="shared" si="0"/>
        <v>82850994</v>
      </c>
      <c r="P11" s="252">
        <f t="shared" si="5"/>
        <v>0.40202811116663523</v>
      </c>
      <c r="Q11" s="89">
        <f t="shared" si="6"/>
        <v>123231595</v>
      </c>
      <c r="R11" s="90" t="s">
        <v>343</v>
      </c>
      <c r="S11" s="91" t="s">
        <v>112</v>
      </c>
      <c r="T11" s="92">
        <f>'Mérleg szintű ÖK'!I10</f>
        <v>73483528</v>
      </c>
      <c r="U11" s="92">
        <f>'Mérleg szintű ÖK'!J10</f>
        <v>74083528</v>
      </c>
      <c r="V11" s="92">
        <f>'Mérleg szintű ÖK'!K10</f>
        <v>23361533</v>
      </c>
      <c r="W11" s="250">
        <f t="shared" si="7"/>
        <v>0.31534044922914578</v>
      </c>
      <c r="X11" s="92">
        <f t="shared" si="8"/>
        <v>50721995</v>
      </c>
      <c r="Y11" s="92">
        <f>'Intézményi összesen'!M10</f>
        <v>14798616</v>
      </c>
      <c r="Z11" s="92">
        <f>'Intézményi összesen'!N10</f>
        <v>15407104</v>
      </c>
      <c r="AA11" s="92">
        <f>'Intézményi összesen'!O10</f>
        <v>7365173</v>
      </c>
      <c r="AB11" s="250">
        <f t="shared" si="9"/>
        <v>0.47803746894938853</v>
      </c>
      <c r="AC11" s="92">
        <f t="shared" si="10"/>
        <v>8041931</v>
      </c>
      <c r="AD11" s="18">
        <f t="shared" si="11"/>
        <v>88282144</v>
      </c>
      <c r="AE11" s="18">
        <f t="shared" si="1"/>
        <v>89490632</v>
      </c>
      <c r="AF11" s="18">
        <f t="shared" si="1"/>
        <v>30726706</v>
      </c>
      <c r="AG11" s="250">
        <f t="shared" si="12"/>
        <v>0.3433510895308014</v>
      </c>
      <c r="AH11" s="18">
        <f t="shared" si="1"/>
        <v>58763926</v>
      </c>
    </row>
    <row r="12" spans="1:34" ht="44.25" customHeight="1">
      <c r="A12" s="86" t="s">
        <v>344</v>
      </c>
      <c r="B12" s="87" t="s">
        <v>345</v>
      </c>
      <c r="C12" s="94">
        <f>'Mérleg szintű ÖK'!C11</f>
        <v>0</v>
      </c>
      <c r="D12" s="94">
        <f>'Mérleg szintű ÖK'!D11</f>
        <v>0</v>
      </c>
      <c r="E12" s="94">
        <f>'Mérleg szintű ÖK'!E11</f>
        <v>52011992</v>
      </c>
      <c r="F12" s="223" t="e">
        <f t="shared" si="2"/>
        <v>#DIV/0!</v>
      </c>
      <c r="G12" s="88">
        <f t="shared" si="3"/>
        <v>-52011992</v>
      </c>
      <c r="H12" s="94">
        <v>0</v>
      </c>
      <c r="I12" s="231"/>
      <c r="J12" s="231"/>
      <c r="K12" s="253"/>
      <c r="L12" s="231"/>
      <c r="M12" s="89">
        <f t="shared" si="4"/>
        <v>0</v>
      </c>
      <c r="N12" s="89">
        <f t="shared" si="0"/>
        <v>0</v>
      </c>
      <c r="O12" s="89">
        <f t="shared" si="0"/>
        <v>52011992</v>
      </c>
      <c r="P12" s="252"/>
      <c r="Q12" s="89">
        <f t="shared" si="6"/>
        <v>-52011992</v>
      </c>
      <c r="R12" s="95" t="s">
        <v>346</v>
      </c>
      <c r="S12" s="87" t="s">
        <v>347</v>
      </c>
      <c r="T12" s="92">
        <f>'Mérleg szintű ÖK'!I11</f>
        <v>9490000</v>
      </c>
      <c r="U12" s="92">
        <f>'Mérleg szintű ÖK'!J11</f>
        <v>9490000</v>
      </c>
      <c r="V12" s="92">
        <f>'Mérleg szintű ÖK'!K11</f>
        <v>1373200</v>
      </c>
      <c r="W12" s="250">
        <f t="shared" si="7"/>
        <v>0.14469968387776608</v>
      </c>
      <c r="X12" s="92">
        <f t="shared" si="8"/>
        <v>8116800</v>
      </c>
      <c r="Y12" s="92">
        <v>0</v>
      </c>
      <c r="Z12" s="92">
        <v>0</v>
      </c>
      <c r="AA12" s="92">
        <v>0</v>
      </c>
      <c r="AB12" s="250">
        <v>0</v>
      </c>
      <c r="AC12" s="92">
        <f t="shared" si="10"/>
        <v>0</v>
      </c>
      <c r="AD12" s="18">
        <f t="shared" si="11"/>
        <v>9490000</v>
      </c>
      <c r="AE12" s="18">
        <f t="shared" si="1"/>
        <v>9490000</v>
      </c>
      <c r="AF12" s="18">
        <f t="shared" si="1"/>
        <v>1373200</v>
      </c>
      <c r="AG12" s="250">
        <f t="shared" si="12"/>
        <v>0.14469968387776608</v>
      </c>
      <c r="AH12" s="18">
        <f t="shared" si="1"/>
        <v>8116800</v>
      </c>
    </row>
    <row r="13" spans="1:34" ht="35.25" customHeight="1">
      <c r="A13" s="86" t="s">
        <v>348</v>
      </c>
      <c r="B13" s="87" t="s">
        <v>349</v>
      </c>
      <c r="C13" s="94">
        <f>'Mérleg szintű ÖK'!C12</f>
        <v>40720000</v>
      </c>
      <c r="D13" s="94">
        <f>'Mérleg szintű ÖK'!D12</f>
        <v>40720000</v>
      </c>
      <c r="E13" s="94">
        <f>'Mérleg szintű ÖK'!E12</f>
        <v>19040055</v>
      </c>
      <c r="F13" s="223">
        <f t="shared" si="2"/>
        <v>0.467584847740668</v>
      </c>
      <c r="G13" s="88">
        <f t="shared" si="3"/>
        <v>21679945</v>
      </c>
      <c r="H13" s="94">
        <v>0</v>
      </c>
      <c r="I13" s="231"/>
      <c r="J13" s="231"/>
      <c r="K13" s="253"/>
      <c r="L13" s="231"/>
      <c r="M13" s="89">
        <f t="shared" si="4"/>
        <v>40720000</v>
      </c>
      <c r="N13" s="89">
        <f t="shared" si="0"/>
        <v>40720000</v>
      </c>
      <c r="O13" s="89">
        <f t="shared" si="0"/>
        <v>19040055</v>
      </c>
      <c r="P13" s="252">
        <f t="shared" si="5"/>
        <v>0.467584847740668</v>
      </c>
      <c r="Q13" s="89">
        <f t="shared" si="6"/>
        <v>21679945</v>
      </c>
      <c r="R13" s="86" t="s">
        <v>350</v>
      </c>
      <c r="S13" s="87" t="s">
        <v>351</v>
      </c>
      <c r="T13" s="92">
        <f>'Mérleg szintű ÖK'!I12+'Mérleg szintű ÖK'!I13</f>
        <v>32014263</v>
      </c>
      <c r="U13" s="92">
        <f>'Mérleg szintű ÖK'!J12+'Mérleg szintű ÖK'!J13</f>
        <v>38456838</v>
      </c>
      <c r="V13" s="92">
        <f>'Mérleg szintű ÖK'!K12+'Mérleg szintű ÖK'!K13</f>
        <v>15802975</v>
      </c>
      <c r="W13" s="250">
        <f t="shared" si="7"/>
        <v>0.41092757028021909</v>
      </c>
      <c r="X13" s="92">
        <f t="shared" si="8"/>
        <v>22653863</v>
      </c>
      <c r="Y13" s="92">
        <v>0</v>
      </c>
      <c r="Z13" s="92">
        <f>'Intézményi összesen'!N12</f>
        <v>0</v>
      </c>
      <c r="AA13" s="92">
        <f>'Intézményi összesen'!O12</f>
        <v>0</v>
      </c>
      <c r="AB13" s="250"/>
      <c r="AC13" s="92">
        <f t="shared" si="10"/>
        <v>0</v>
      </c>
      <c r="AD13" s="18">
        <f t="shared" si="11"/>
        <v>32014263</v>
      </c>
      <c r="AE13" s="18">
        <f t="shared" si="1"/>
        <v>38456838</v>
      </c>
      <c r="AF13" s="18">
        <f t="shared" si="1"/>
        <v>15802975</v>
      </c>
      <c r="AG13" s="250"/>
      <c r="AH13" s="18">
        <f t="shared" si="1"/>
        <v>22653863</v>
      </c>
    </row>
    <row r="14" spans="1:34" ht="37.5" customHeight="1">
      <c r="A14" s="86" t="s">
        <v>352</v>
      </c>
      <c r="B14" s="87" t="s">
        <v>353</v>
      </c>
      <c r="C14" s="88">
        <f>'Mérleg szintű ÖK'!C14</f>
        <v>20733556</v>
      </c>
      <c r="D14" s="88">
        <f>'Mérleg szintű ÖK'!D14</f>
        <v>20733556</v>
      </c>
      <c r="E14" s="88">
        <f>'Mérleg szintű ÖK'!E14</f>
        <v>14769347</v>
      </c>
      <c r="F14" s="223">
        <f t="shared" si="2"/>
        <v>0.71234027583112125</v>
      </c>
      <c r="G14" s="88">
        <f t="shared" si="3"/>
        <v>5964209</v>
      </c>
      <c r="H14" s="88">
        <f>'Intézményi összesen'!M15</f>
        <v>0</v>
      </c>
      <c r="I14" s="88">
        <f>'Intézményi összesen'!N15</f>
        <v>0</v>
      </c>
      <c r="J14" s="88">
        <f>'Intézményi összesen'!O15</f>
        <v>116711</v>
      </c>
      <c r="K14" s="252" t="e">
        <f>J14/I14</f>
        <v>#DIV/0!</v>
      </c>
      <c r="L14" s="89">
        <f>I14-J14</f>
        <v>-116711</v>
      </c>
      <c r="M14" s="89">
        <f t="shared" si="4"/>
        <v>20733556</v>
      </c>
      <c r="N14" s="89">
        <f t="shared" si="0"/>
        <v>20733556</v>
      </c>
      <c r="O14" s="89">
        <f t="shared" si="0"/>
        <v>14886058</v>
      </c>
      <c r="P14" s="252">
        <f t="shared" si="5"/>
        <v>0.71796936328722383</v>
      </c>
      <c r="Q14" s="89">
        <f t="shared" si="6"/>
        <v>5847498</v>
      </c>
      <c r="R14" s="86" t="s">
        <v>127</v>
      </c>
      <c r="S14" s="87" t="s">
        <v>128</v>
      </c>
      <c r="T14" s="92">
        <f>'Mérleg szintű ÖK'!I14</f>
        <v>206674193</v>
      </c>
      <c r="U14" s="92">
        <f>'Mérleg szintű ÖK'!J14</f>
        <v>184639944</v>
      </c>
      <c r="V14" s="92">
        <f>'Mérleg szintű ÖK'!K14</f>
        <v>5080</v>
      </c>
      <c r="W14" s="250">
        <f t="shared" si="7"/>
        <v>2.7513006611397152E-5</v>
      </c>
      <c r="X14" s="92">
        <f t="shared" si="8"/>
        <v>184634864</v>
      </c>
      <c r="Y14" s="92">
        <f>'Intézményi összesen'!M11</f>
        <v>7971449.6400000006</v>
      </c>
      <c r="Z14" s="92">
        <f>'Intézményi összesen'!N11</f>
        <v>9810799.6400000006</v>
      </c>
      <c r="AA14" s="92">
        <f>'Intézményi összesen'!O11</f>
        <v>139450</v>
      </c>
      <c r="AB14" s="250">
        <f t="shared" si="9"/>
        <v>1.4213928030029568E-2</v>
      </c>
      <c r="AC14" s="92">
        <f t="shared" si="10"/>
        <v>9671349.6400000006</v>
      </c>
      <c r="AD14" s="18">
        <f t="shared" si="11"/>
        <v>214645642.63999999</v>
      </c>
      <c r="AE14" s="18">
        <f t="shared" si="1"/>
        <v>194450743.63999999</v>
      </c>
      <c r="AF14" s="18">
        <f t="shared" si="1"/>
        <v>144530</v>
      </c>
      <c r="AG14" s="250">
        <f t="shared" si="12"/>
        <v>7.4327306388489989E-4</v>
      </c>
      <c r="AH14" s="18">
        <f t="shared" si="1"/>
        <v>194306213.63999999</v>
      </c>
    </row>
    <row r="15" spans="1:34" ht="27.75" customHeight="1">
      <c r="A15" s="86" t="s">
        <v>354</v>
      </c>
      <c r="B15" s="87" t="s">
        <v>355</v>
      </c>
      <c r="C15" s="96">
        <f>'Mérleg szintű ÖK'!C15</f>
        <v>0</v>
      </c>
      <c r="D15" s="96">
        <f>'Mérleg szintű ÖK'!D15</f>
        <v>0</v>
      </c>
      <c r="E15" s="96">
        <f>'Mérleg szintű ÖK'!E15</f>
        <v>0</v>
      </c>
      <c r="F15" s="223"/>
      <c r="G15" s="88">
        <f t="shared" si="3"/>
        <v>0</v>
      </c>
      <c r="H15" s="96">
        <f>'[1]14mellIntézményi összesített'!F14</f>
        <v>0</v>
      </c>
      <c r="I15" s="232"/>
      <c r="J15" s="232"/>
      <c r="K15" s="232"/>
      <c r="L15" s="232"/>
      <c r="M15" s="89">
        <f t="shared" si="4"/>
        <v>0</v>
      </c>
      <c r="N15" s="89">
        <f t="shared" si="0"/>
        <v>0</v>
      </c>
      <c r="O15" s="89">
        <f t="shared" si="0"/>
        <v>0</v>
      </c>
      <c r="P15" s="252"/>
      <c r="Q15" s="89">
        <f t="shared" si="6"/>
        <v>0</v>
      </c>
      <c r="R15" s="97" t="s">
        <v>314</v>
      </c>
      <c r="S15" s="98" t="s">
        <v>138</v>
      </c>
      <c r="T15" s="92">
        <f>'Mérleg szintű ÖK'!I15</f>
        <v>66696590</v>
      </c>
      <c r="U15" s="92">
        <f>'Mérleg szintű ÖK'!J15</f>
        <v>59196590</v>
      </c>
      <c r="V15" s="92">
        <f>'Mérleg szintű ÖK'!K15</f>
        <v>5034322</v>
      </c>
      <c r="W15" s="250">
        <f t="shared" si="7"/>
        <v>8.5044121629303304E-2</v>
      </c>
      <c r="X15" s="92">
        <f t="shared" si="8"/>
        <v>54162268</v>
      </c>
      <c r="Y15" s="92">
        <f>'Intézményi összesen'!M12</f>
        <v>0</v>
      </c>
      <c r="Z15" s="92">
        <f>'Intézményi összesen'!N12</f>
        <v>0</v>
      </c>
      <c r="AA15" s="92">
        <f>'Intézményi összesen'!O12</f>
        <v>0</v>
      </c>
      <c r="AB15" s="250"/>
      <c r="AC15" s="92">
        <f t="shared" si="10"/>
        <v>0</v>
      </c>
      <c r="AD15" s="18">
        <f t="shared" si="11"/>
        <v>66696590</v>
      </c>
      <c r="AE15" s="18">
        <f t="shared" si="1"/>
        <v>59196590</v>
      </c>
      <c r="AF15" s="18">
        <f t="shared" si="1"/>
        <v>5034322</v>
      </c>
      <c r="AG15" s="250">
        <f t="shared" si="12"/>
        <v>8.5044121629303304E-2</v>
      </c>
      <c r="AH15" s="18">
        <f t="shared" si="1"/>
        <v>54162268</v>
      </c>
    </row>
    <row r="16" spans="1:34" ht="30.75" customHeight="1">
      <c r="A16" s="86" t="s">
        <v>356</v>
      </c>
      <c r="B16" s="87" t="s">
        <v>357</v>
      </c>
      <c r="C16" s="96">
        <f>'Mérleg szintű ÖK'!C16</f>
        <v>0</v>
      </c>
      <c r="D16" s="96">
        <f>'Mérleg szintű ÖK'!D16</f>
        <v>0</v>
      </c>
      <c r="E16" s="96">
        <f>'Mérleg szintű ÖK'!E16</f>
        <v>0</v>
      </c>
      <c r="F16" s="223"/>
      <c r="G16" s="88">
        <f t="shared" si="3"/>
        <v>0</v>
      </c>
      <c r="H16" s="96">
        <v>0</v>
      </c>
      <c r="I16" s="232"/>
      <c r="J16" s="232"/>
      <c r="K16" s="232"/>
      <c r="L16" s="232"/>
      <c r="M16" s="89">
        <f t="shared" si="4"/>
        <v>0</v>
      </c>
      <c r="N16" s="89">
        <f t="shared" si="0"/>
        <v>0</v>
      </c>
      <c r="O16" s="89">
        <f t="shared" si="0"/>
        <v>0</v>
      </c>
      <c r="P16" s="252"/>
      <c r="Q16" s="89">
        <f t="shared" si="6"/>
        <v>0</v>
      </c>
      <c r="R16" s="2" t="s">
        <v>527</v>
      </c>
      <c r="S16" s="1"/>
      <c r="T16" s="3">
        <f>'Mérleg szintű ÖK'!I16</f>
        <v>0</v>
      </c>
      <c r="U16" s="3">
        <f>'Mérleg szintű ÖK'!J16</f>
        <v>0</v>
      </c>
      <c r="V16" s="3">
        <f>'Mérleg szintű ÖK'!K16</f>
        <v>0</v>
      </c>
      <c r="W16" s="250" t="e">
        <f t="shared" si="7"/>
        <v>#DIV/0!</v>
      </c>
      <c r="X16" s="92">
        <f t="shared" si="8"/>
        <v>0</v>
      </c>
      <c r="Y16" s="3"/>
      <c r="Z16" s="3"/>
      <c r="AA16" s="3"/>
      <c r="AB16" s="250"/>
      <c r="AC16" s="92">
        <f t="shared" si="10"/>
        <v>0</v>
      </c>
      <c r="AD16" s="18">
        <f t="shared" si="11"/>
        <v>0</v>
      </c>
      <c r="AE16" s="18">
        <f t="shared" si="1"/>
        <v>0</v>
      </c>
      <c r="AF16" s="18">
        <f t="shared" si="1"/>
        <v>0</v>
      </c>
      <c r="AG16" s="250"/>
      <c r="AH16" s="18">
        <f t="shared" si="1"/>
        <v>0</v>
      </c>
    </row>
    <row r="17" spans="1:34">
      <c r="A17" s="99" t="s">
        <v>358</v>
      </c>
      <c r="B17" s="100" t="s">
        <v>359</v>
      </c>
      <c r="C17" s="101">
        <f>SUM(C11:C16)</f>
        <v>259893237</v>
      </c>
      <c r="D17" s="101">
        <f t="shared" ref="D17:G17" si="15">SUM(D11:D16)</f>
        <v>266691112</v>
      </c>
      <c r="E17" s="101">
        <f t="shared" si="15"/>
        <v>165865713</v>
      </c>
      <c r="F17" s="225">
        <f>E17/D17</f>
        <v>0.62193941056423363</v>
      </c>
      <c r="G17" s="101">
        <f t="shared" si="15"/>
        <v>100825399</v>
      </c>
      <c r="H17" s="101">
        <f>SUM(H11:H16)</f>
        <v>0</v>
      </c>
      <c r="I17" s="101">
        <f t="shared" ref="I17:O17" si="16">SUM(I11:I16)</f>
        <v>845033</v>
      </c>
      <c r="J17" s="101">
        <f t="shared" si="16"/>
        <v>2923386</v>
      </c>
      <c r="K17" s="225">
        <f>J17/I17</f>
        <v>3.4594932978948751</v>
      </c>
      <c r="L17" s="101">
        <f>I17-J17</f>
        <v>-2078353</v>
      </c>
      <c r="M17" s="101">
        <f t="shared" si="16"/>
        <v>259893237</v>
      </c>
      <c r="N17" s="101">
        <f t="shared" si="16"/>
        <v>267536145</v>
      </c>
      <c r="O17" s="101">
        <f t="shared" si="16"/>
        <v>168789099</v>
      </c>
      <c r="P17" s="254">
        <f>O17/N17</f>
        <v>0.63090203755458907</v>
      </c>
      <c r="Q17" s="233">
        <f>SUM(Q9:Q16)</f>
        <v>221978641</v>
      </c>
      <c r="R17" s="102" t="s">
        <v>360</v>
      </c>
      <c r="S17" s="103"/>
      <c r="T17" s="104">
        <f>SUM(T9:T16)</f>
        <v>422215435.80000001</v>
      </c>
      <c r="U17" s="104">
        <f t="shared" ref="U17:V17" si="17">SUM(U9:U16)</f>
        <v>400079061.80000001</v>
      </c>
      <c r="V17" s="104">
        <f t="shared" si="17"/>
        <v>59882829</v>
      </c>
      <c r="W17" s="251">
        <f>V17/U17</f>
        <v>0.14967748807093409</v>
      </c>
      <c r="X17" s="104">
        <f>SUM(X9:X16)</f>
        <v>340196232.80000001</v>
      </c>
      <c r="Y17" s="104">
        <f>SUM(Y9:Y15)</f>
        <v>119411303.64</v>
      </c>
      <c r="Z17" s="104">
        <f t="shared" ref="Z17:AA17" si="18">SUM(Z9:Z15)</f>
        <v>122582423.64</v>
      </c>
      <c r="AA17" s="104">
        <f t="shared" si="18"/>
        <v>50037513</v>
      </c>
      <c r="AB17" s="251">
        <f>AA17/Z17</f>
        <v>0.40819484159450253</v>
      </c>
      <c r="AC17" s="104">
        <f>Z17-AA17</f>
        <v>72544910.640000001</v>
      </c>
      <c r="AD17" s="105">
        <f>SUM(AD9:AD16)</f>
        <v>541626739.44000006</v>
      </c>
      <c r="AE17" s="105">
        <f t="shared" ref="AE17:AH17" si="19">SUM(AE9:AE16)</f>
        <v>522661485.44</v>
      </c>
      <c r="AF17" s="105">
        <f t="shared" si="19"/>
        <v>109920342</v>
      </c>
      <c r="AG17" s="251">
        <f>AF17/AE17</f>
        <v>0.21030886159033529</v>
      </c>
      <c r="AH17" s="105">
        <f t="shared" si="19"/>
        <v>412741143.44</v>
      </c>
    </row>
    <row r="18" spans="1:34" ht="34.5" customHeight="1">
      <c r="A18" s="86" t="s">
        <v>361</v>
      </c>
      <c r="B18" s="87" t="s">
        <v>362</v>
      </c>
      <c r="C18" s="96">
        <f>'Mérleg szintű ÖK'!C18</f>
        <v>286233503</v>
      </c>
      <c r="D18" s="96">
        <f>'Mérleg szintű ÖK'!D18</f>
        <v>258612724</v>
      </c>
      <c r="E18" s="96">
        <f>'Mérleg szintű ÖK'!E18</f>
        <v>0</v>
      </c>
      <c r="F18" s="224">
        <f>E18/D18</f>
        <v>0</v>
      </c>
      <c r="G18" s="96">
        <f>E18-D18</f>
        <v>-258612724</v>
      </c>
      <c r="H18" s="96">
        <f>'Intézményi összesen'!M17</f>
        <v>0</v>
      </c>
      <c r="I18" s="96">
        <f>'Intézményi összesen'!N17</f>
        <v>2326087</v>
      </c>
      <c r="J18" s="96">
        <f>'Intézményi összesen'!O17</f>
        <v>26600401</v>
      </c>
      <c r="K18" s="224">
        <f t="shared" ref="K18:K19" si="20">J18/I18</f>
        <v>11.435686197463809</v>
      </c>
      <c r="L18" s="94">
        <f t="shared" ref="L18:L19" si="21">I18-J18</f>
        <v>-24274314</v>
      </c>
      <c r="M18" s="89">
        <f t="shared" si="4"/>
        <v>286233503</v>
      </c>
      <c r="N18" s="89">
        <f t="shared" ref="N18:N22" si="22">SUM(D18,I18)</f>
        <v>260938811</v>
      </c>
      <c r="O18" s="89">
        <f t="shared" ref="O18:O22" si="23">SUM(E18,J18)</f>
        <v>26600401</v>
      </c>
      <c r="P18" s="224">
        <f>O18/N18</f>
        <v>0.10194114435510324</v>
      </c>
      <c r="Q18" s="96">
        <f>N18-O18</f>
        <v>234338410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8">
        <f t="shared" ref="AD18:AD22" si="24">SUM(T18,Y18)</f>
        <v>0</v>
      </c>
      <c r="AE18" s="18">
        <f t="shared" ref="AE18:AE22" si="25">SUM(U18,Z18)</f>
        <v>0</v>
      </c>
      <c r="AF18" s="18">
        <f t="shared" ref="AF18:AF22" si="26">SUM(V18,AA18)</f>
        <v>0</v>
      </c>
      <c r="AG18" s="1"/>
      <c r="AH18" s="1"/>
    </row>
    <row r="19" spans="1:34" ht="33" customHeight="1">
      <c r="A19" s="86" t="s">
        <v>1062</v>
      </c>
      <c r="B19" s="87" t="s">
        <v>1063</v>
      </c>
      <c r="C19" s="96">
        <f>'Mérleg szintű ÖK'!C19</f>
        <v>0</v>
      </c>
      <c r="D19" s="96">
        <f>'Mérleg szintű ÖK'!D19</f>
        <v>171934</v>
      </c>
      <c r="E19" s="96">
        <f>'Mérleg szintű ÖK'!E19</f>
        <v>0</v>
      </c>
      <c r="F19" s="224">
        <f t="shared" ref="F19:F21" si="27">E19/D19</f>
        <v>0</v>
      </c>
      <c r="G19" s="96">
        <f t="shared" ref="G19:G21" si="28">E19-D19</f>
        <v>-171934</v>
      </c>
      <c r="H19" s="94">
        <f>SUM(H18)</f>
        <v>0</v>
      </c>
      <c r="I19" s="94">
        <f t="shared" ref="H19:J19" si="29">SUM(I18)</f>
        <v>2326087</v>
      </c>
      <c r="J19" s="94">
        <f t="shared" si="29"/>
        <v>26600401</v>
      </c>
      <c r="K19" s="224">
        <f t="shared" si="20"/>
        <v>11.435686197463809</v>
      </c>
      <c r="L19" s="94">
        <f t="shared" si="21"/>
        <v>-24274314</v>
      </c>
      <c r="M19" s="89">
        <f t="shared" si="4"/>
        <v>0</v>
      </c>
      <c r="N19" s="89">
        <f t="shared" si="22"/>
        <v>2498021</v>
      </c>
      <c r="O19" s="89">
        <f>SUM(E19,J19)</f>
        <v>26600401</v>
      </c>
      <c r="P19" s="224">
        <f t="shared" ref="P19:P21" si="30">O19/N19</f>
        <v>10.648589823704445</v>
      </c>
      <c r="Q19" s="96">
        <f t="shared" ref="Q19:Q21" si="31">N19-O19</f>
        <v>-24102380</v>
      </c>
      <c r="R19" s="106" t="s">
        <v>363</v>
      </c>
      <c r="S19" s="107" t="s">
        <v>364</v>
      </c>
      <c r="T19" s="108">
        <f>'Mérleg szintű ÖK'!I19</f>
        <v>4500000</v>
      </c>
      <c r="U19" s="108">
        <f>'Mérleg szintű ÖK'!J19</f>
        <v>5985404</v>
      </c>
      <c r="V19" s="108">
        <f>'Mérleg szintű ÖK'!K19</f>
        <v>0</v>
      </c>
      <c r="W19" s="250">
        <f t="shared" ref="W19:W21" si="32">V19/U19</f>
        <v>0</v>
      </c>
      <c r="X19" s="92">
        <f t="shared" ref="X19:X21" si="33">U19-V19</f>
        <v>5985404</v>
      </c>
      <c r="Y19" s="108">
        <v>0</v>
      </c>
      <c r="Z19" s="108"/>
      <c r="AA19" s="108"/>
      <c r="AB19" s="108"/>
      <c r="AC19" s="108"/>
      <c r="AD19" s="18">
        <f t="shared" si="24"/>
        <v>4500000</v>
      </c>
      <c r="AE19" s="18">
        <f t="shared" si="25"/>
        <v>5985404</v>
      </c>
      <c r="AF19" s="18">
        <f t="shared" si="26"/>
        <v>0</v>
      </c>
      <c r="AG19" s="250">
        <f t="shared" ref="AG19:AG21" si="34">AF19/AE19</f>
        <v>0</v>
      </c>
      <c r="AH19" s="228">
        <f>AE19-AF19</f>
        <v>5985404</v>
      </c>
    </row>
    <row r="20" spans="1:34" ht="45" customHeight="1">
      <c r="A20" s="109" t="s">
        <v>328</v>
      </c>
      <c r="B20" s="87" t="s">
        <v>147</v>
      </c>
      <c r="C20" s="94">
        <v>0</v>
      </c>
      <c r="D20" s="94">
        <v>0</v>
      </c>
      <c r="E20" s="94">
        <v>0</v>
      </c>
      <c r="F20" s="224"/>
      <c r="G20" s="96">
        <f t="shared" si="28"/>
        <v>0</v>
      </c>
      <c r="H20" s="94">
        <f>'Intézményi összesen'!M18</f>
        <v>119411303.64</v>
      </c>
      <c r="I20" s="94">
        <f>'Intézményi összesen'!N18</f>
        <v>119411303.64</v>
      </c>
      <c r="J20" s="94">
        <f>'Intézményi összesen'!O18</f>
        <v>22669775</v>
      </c>
      <c r="K20" s="224">
        <f>J20/I20</f>
        <v>0.18984613942700609</v>
      </c>
      <c r="L20" s="94">
        <f>I20-J20</f>
        <v>96741528.640000001</v>
      </c>
      <c r="M20" s="89">
        <f t="shared" si="4"/>
        <v>119411303.64</v>
      </c>
      <c r="N20" s="89">
        <f t="shared" si="22"/>
        <v>119411303.64</v>
      </c>
      <c r="O20" s="89">
        <f t="shared" si="23"/>
        <v>22669775</v>
      </c>
      <c r="P20" s="224">
        <f t="shared" si="30"/>
        <v>0.18984613942700609</v>
      </c>
      <c r="Q20" s="96">
        <f t="shared" si="31"/>
        <v>96741528.640000001</v>
      </c>
      <c r="R20" s="106" t="s">
        <v>365</v>
      </c>
      <c r="S20" s="107" t="s">
        <v>366</v>
      </c>
      <c r="T20" s="108">
        <f>'Mérleg szintű ÖK'!I20</f>
        <v>119411303.64</v>
      </c>
      <c r="U20" s="108">
        <f>'Mérleg szintű ÖK'!J20</f>
        <v>119411303.64</v>
      </c>
      <c r="V20" s="108">
        <f>'Mérleg szintű ÖK'!K20</f>
        <v>22669775</v>
      </c>
      <c r="W20" s="250">
        <f t="shared" si="32"/>
        <v>0.18984613942700609</v>
      </c>
      <c r="X20" s="92">
        <f t="shared" si="33"/>
        <v>96741528.640000001</v>
      </c>
      <c r="Y20" s="108">
        <v>0</v>
      </c>
      <c r="Z20" s="108"/>
      <c r="AA20" s="108"/>
      <c r="AB20" s="108"/>
      <c r="AC20" s="108"/>
      <c r="AD20" s="18">
        <f t="shared" si="24"/>
        <v>119411303.64</v>
      </c>
      <c r="AE20" s="18">
        <f t="shared" si="25"/>
        <v>119411303.64</v>
      </c>
      <c r="AF20" s="18">
        <f t="shared" si="26"/>
        <v>22669775</v>
      </c>
      <c r="AG20" s="250">
        <f t="shared" si="34"/>
        <v>0.18984613942700609</v>
      </c>
      <c r="AH20" s="228">
        <f t="shared" ref="AH20:AH21" si="35">AE20-AF20</f>
        <v>96741528.640000001</v>
      </c>
    </row>
    <row r="21" spans="1:34">
      <c r="A21" s="86" t="s">
        <v>367</v>
      </c>
      <c r="B21" s="87" t="s">
        <v>368</v>
      </c>
      <c r="C21" s="94">
        <f>SUM(C18:C20)</f>
        <v>286233503</v>
      </c>
      <c r="D21" s="94">
        <f>SUM(D18:D20)</f>
        <v>258784658</v>
      </c>
      <c r="E21" s="94">
        <f t="shared" ref="D21:E21" si="36">SUM(E19:E20)</f>
        <v>0</v>
      </c>
      <c r="F21" s="224">
        <f t="shared" si="27"/>
        <v>0</v>
      </c>
      <c r="G21" s="96">
        <f t="shared" si="28"/>
        <v>-258784658</v>
      </c>
      <c r="H21" s="94">
        <f>SUM(H19:H20)</f>
        <v>119411303.64</v>
      </c>
      <c r="I21" s="94">
        <f t="shared" ref="I21:J21" si="37">SUM(I19:I20)</f>
        <v>121737390.64</v>
      </c>
      <c r="J21" s="94">
        <f t="shared" si="37"/>
        <v>49270176</v>
      </c>
      <c r="K21" s="224">
        <f>J21/I21</f>
        <v>0.4047250868527405</v>
      </c>
      <c r="L21" s="94">
        <f>I21-J21</f>
        <v>72467214.640000001</v>
      </c>
      <c r="M21" s="89">
        <f t="shared" si="4"/>
        <v>405644806.63999999</v>
      </c>
      <c r="N21" s="89">
        <f t="shared" si="22"/>
        <v>380522048.63999999</v>
      </c>
      <c r="O21" s="89">
        <f t="shared" si="23"/>
        <v>49270176</v>
      </c>
      <c r="P21" s="224">
        <f t="shared" si="30"/>
        <v>0.1294804760357342</v>
      </c>
      <c r="Q21" s="96">
        <f t="shared" si="31"/>
        <v>331251872.63999999</v>
      </c>
      <c r="R21" s="106" t="s">
        <v>369</v>
      </c>
      <c r="S21" s="107" t="s">
        <v>370</v>
      </c>
      <c r="T21" s="108">
        <f t="shared" ref="T21:Y21" si="38">SUM(T19:T20)</f>
        <v>123911303.64</v>
      </c>
      <c r="U21" s="108">
        <f t="shared" ref="U21:V21" si="39">SUM(U19:U20)</f>
        <v>125396707.64</v>
      </c>
      <c r="V21" s="108">
        <f t="shared" si="39"/>
        <v>22669775</v>
      </c>
      <c r="W21" s="250">
        <f t="shared" si="32"/>
        <v>0.18078445141544228</v>
      </c>
      <c r="X21" s="92">
        <f t="shared" si="33"/>
        <v>102726932.64</v>
      </c>
      <c r="Y21" s="108">
        <f t="shared" si="38"/>
        <v>0</v>
      </c>
      <c r="Z21" s="108"/>
      <c r="AA21" s="108"/>
      <c r="AB21" s="108"/>
      <c r="AC21" s="108"/>
      <c r="AD21" s="18">
        <f t="shared" si="24"/>
        <v>123911303.64</v>
      </c>
      <c r="AE21" s="18">
        <f t="shared" si="25"/>
        <v>125396707.64</v>
      </c>
      <c r="AF21" s="18">
        <f t="shared" si="26"/>
        <v>22669775</v>
      </c>
      <c r="AG21" s="250">
        <f t="shared" si="34"/>
        <v>0.18078445141544228</v>
      </c>
      <c r="AH21" s="228">
        <f t="shared" si="35"/>
        <v>102726932.64</v>
      </c>
    </row>
    <row r="22" spans="1:34">
      <c r="A22" s="213" t="s">
        <v>539</v>
      </c>
      <c r="B22" s="214"/>
      <c r="C22" s="215">
        <f>'Mérleg szintű ÖK'!C22</f>
        <v>0</v>
      </c>
      <c r="D22" s="215">
        <f>'Mérleg szintű ÖK'!D22</f>
        <v>0</v>
      </c>
      <c r="E22" s="215">
        <f>'Mérleg szintű ÖK'!E22</f>
        <v>0</v>
      </c>
      <c r="F22" s="215"/>
      <c r="G22" s="215"/>
      <c r="H22" s="94"/>
      <c r="I22" s="94"/>
      <c r="J22" s="94"/>
      <c r="K22" s="94"/>
      <c r="L22" s="94"/>
      <c r="M22" s="89">
        <f t="shared" si="4"/>
        <v>0</v>
      </c>
      <c r="N22" s="89">
        <f t="shared" si="22"/>
        <v>0</v>
      </c>
      <c r="O22" s="89">
        <f t="shared" si="23"/>
        <v>0</v>
      </c>
      <c r="P22" s="224"/>
      <c r="Q22" s="96"/>
      <c r="R22" s="140"/>
      <c r="S22" s="107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8">
        <f t="shared" si="24"/>
        <v>0</v>
      </c>
      <c r="AE22" s="18">
        <f t="shared" si="25"/>
        <v>0</v>
      </c>
      <c r="AF22" s="18">
        <f t="shared" si="26"/>
        <v>0</v>
      </c>
      <c r="AG22" s="1"/>
      <c r="AH22" s="1"/>
    </row>
    <row r="23" spans="1:34">
      <c r="A23" s="99" t="s">
        <v>371</v>
      </c>
      <c r="B23" s="110" t="s">
        <v>372</v>
      </c>
      <c r="C23" s="111">
        <f>SUM(C21,C22)</f>
        <v>286233503</v>
      </c>
      <c r="D23" s="111">
        <f t="shared" ref="D23:E23" si="40">SUM(D21,D22)</f>
        <v>258784658</v>
      </c>
      <c r="E23" s="111">
        <f t="shared" si="40"/>
        <v>0</v>
      </c>
      <c r="F23" s="225">
        <f t="shared" ref="F23:F24" si="41">E23/D23</f>
        <v>0</v>
      </c>
      <c r="G23" s="101">
        <f>SUM(G18:G22)</f>
        <v>-517569316</v>
      </c>
      <c r="H23" s="111">
        <f t="shared" ref="H23:M23" si="42">SUM(H21,H22)</f>
        <v>119411303.64</v>
      </c>
      <c r="I23" s="111">
        <f t="shared" ref="I23:J23" si="43">SUM(I21,I22)</f>
        <v>121737390.64</v>
      </c>
      <c r="J23" s="111">
        <f t="shared" si="43"/>
        <v>49270176</v>
      </c>
      <c r="K23" s="225">
        <f>J23/I23</f>
        <v>0.4047250868527405</v>
      </c>
      <c r="L23" s="111">
        <f t="shared" ref="L23" si="44">SUM(L21,L22)</f>
        <v>72467214.640000001</v>
      </c>
      <c r="M23" s="111">
        <f t="shared" si="42"/>
        <v>405644806.63999999</v>
      </c>
      <c r="N23" s="111">
        <f t="shared" ref="N23:O23" si="45">SUM(N21,N22)</f>
        <v>380522048.63999999</v>
      </c>
      <c r="O23" s="111">
        <f t="shared" si="45"/>
        <v>49270176</v>
      </c>
      <c r="P23" s="225">
        <f>O23/N23</f>
        <v>0.1294804760357342</v>
      </c>
      <c r="Q23" s="111">
        <f>N23-O23</f>
        <v>331251872.63999999</v>
      </c>
      <c r="R23" s="99" t="s">
        <v>373</v>
      </c>
      <c r="S23" s="110" t="s">
        <v>374</v>
      </c>
      <c r="T23" s="112">
        <f t="shared" ref="T23:AD23" si="46">SUM(T21)</f>
        <v>123911303.64</v>
      </c>
      <c r="U23" s="112">
        <f t="shared" ref="U23:V23" si="47">SUM(U21)</f>
        <v>125396707.64</v>
      </c>
      <c r="V23" s="112">
        <f t="shared" si="47"/>
        <v>22669775</v>
      </c>
      <c r="W23" s="251">
        <f t="shared" ref="W23:W24" si="48">V23/U23</f>
        <v>0.18078445141544228</v>
      </c>
      <c r="X23" s="104">
        <f>SUM(X18:X22)</f>
        <v>205453865.28</v>
      </c>
      <c r="Y23" s="112">
        <f t="shared" si="46"/>
        <v>0</v>
      </c>
      <c r="Z23" s="112">
        <f t="shared" ref="Z23:AA23" si="49">SUM(Z21)</f>
        <v>0</v>
      </c>
      <c r="AA23" s="112">
        <f t="shared" si="49"/>
        <v>0</v>
      </c>
      <c r="AB23" s="112"/>
      <c r="AC23" s="112"/>
      <c r="AD23" s="112">
        <f t="shared" si="46"/>
        <v>123911303.64</v>
      </c>
      <c r="AE23" s="112">
        <f t="shared" ref="AE23:AH23" si="50">SUM(AE21)</f>
        <v>125396707.64</v>
      </c>
      <c r="AF23" s="112">
        <f t="shared" si="50"/>
        <v>22669775</v>
      </c>
      <c r="AG23" s="251">
        <f t="shared" ref="AG23:AG24" si="51">AF23/AE23</f>
        <v>0.18078445141544228</v>
      </c>
      <c r="AH23" s="112">
        <f t="shared" si="50"/>
        <v>102726932.64</v>
      </c>
    </row>
    <row r="24" spans="1:34" ht="15.75">
      <c r="A24" s="113" t="s">
        <v>375</v>
      </c>
      <c r="B24" s="110"/>
      <c r="C24" s="114">
        <f>SUM(C23,C17)</f>
        <v>546126740</v>
      </c>
      <c r="D24" s="114">
        <f t="shared" ref="D24:E24" si="52">SUM(D23,D17)</f>
        <v>525475770</v>
      </c>
      <c r="E24" s="114">
        <f t="shared" si="52"/>
        <v>165865713</v>
      </c>
      <c r="F24" s="225">
        <f t="shared" si="41"/>
        <v>0.31564864161101092</v>
      </c>
      <c r="G24" s="101">
        <f t="shared" ref="G24" si="53">SUM(G18:G23)</f>
        <v>-1035138632</v>
      </c>
      <c r="H24" s="114">
        <f>SUM(H23,H17)</f>
        <v>119411303.64</v>
      </c>
      <c r="I24" s="114">
        <f t="shared" ref="I24:L24" si="54">SUM(I23,I17)</f>
        <v>122582423.64</v>
      </c>
      <c r="J24" s="114">
        <f t="shared" si="54"/>
        <v>52193562</v>
      </c>
      <c r="K24" s="225">
        <f>J24/I24</f>
        <v>0.42578340719777269</v>
      </c>
      <c r="L24" s="114">
        <f t="shared" si="54"/>
        <v>70388861.640000001</v>
      </c>
      <c r="M24" s="114">
        <f t="shared" ref="M24:O24" si="55">SUM(M23,M17)</f>
        <v>665538043.63999999</v>
      </c>
      <c r="N24" s="114">
        <f t="shared" si="55"/>
        <v>648058193.63999999</v>
      </c>
      <c r="O24" s="114">
        <f t="shared" si="55"/>
        <v>218059275</v>
      </c>
      <c r="P24" s="249">
        <f>O24/N24</f>
        <v>0.33648100917482293</v>
      </c>
      <c r="Q24" s="114">
        <f>N24-O24</f>
        <v>429998918.63999999</v>
      </c>
      <c r="R24" s="113" t="s">
        <v>376</v>
      </c>
      <c r="S24" s="110"/>
      <c r="T24" s="115">
        <f t="shared" ref="T24:Y24" si="56">T17+T23</f>
        <v>546126739.44000006</v>
      </c>
      <c r="U24" s="115">
        <f t="shared" ref="U24:V24" si="57">U17+U23</f>
        <v>525475769.44</v>
      </c>
      <c r="V24" s="115">
        <f t="shared" si="57"/>
        <v>82552604</v>
      </c>
      <c r="W24" s="251">
        <f t="shared" si="48"/>
        <v>0.1571006862751757</v>
      </c>
      <c r="X24" s="104">
        <f t="shared" ref="X24" si="58">SUM(X16:X23)</f>
        <v>751103963.36000001</v>
      </c>
      <c r="Y24" s="115">
        <f t="shared" si="56"/>
        <v>119411303.64</v>
      </c>
      <c r="Z24" s="115">
        <f t="shared" ref="Z24:AA24" si="59">Z17+Z23</f>
        <v>122582423.64</v>
      </c>
      <c r="AA24" s="115">
        <f t="shared" si="59"/>
        <v>50037513</v>
      </c>
      <c r="AB24" s="115"/>
      <c r="AC24" s="115"/>
      <c r="AD24" s="115">
        <f>AD17+AD23</f>
        <v>665538043.08000004</v>
      </c>
      <c r="AE24" s="115">
        <f t="shared" ref="AE24:AH24" si="60">AE17+AE23</f>
        <v>648058193.08000004</v>
      </c>
      <c r="AF24" s="115">
        <f t="shared" si="60"/>
        <v>132590117</v>
      </c>
      <c r="AG24" s="251">
        <f t="shared" si="51"/>
        <v>0.20459600451904528</v>
      </c>
      <c r="AH24" s="115">
        <f t="shared" si="60"/>
        <v>515468076.07999998</v>
      </c>
    </row>
    <row r="25" spans="1:34">
      <c r="A25" t="s">
        <v>377</v>
      </c>
      <c r="C25" s="116"/>
      <c r="D25" s="116">
        <f>D24-C24</f>
        <v>-20650970</v>
      </c>
      <c r="E25" s="116"/>
      <c r="F25" s="116"/>
      <c r="G25" s="116"/>
      <c r="H25" s="116"/>
      <c r="I25" s="116"/>
      <c r="J25" s="116"/>
      <c r="K25" s="116"/>
      <c r="L25" s="116"/>
      <c r="T25" s="116">
        <f>T24-C24</f>
        <v>-0.55999994277954102</v>
      </c>
      <c r="U25" s="116">
        <f t="shared" ref="U25:V25" si="61">U24-D24</f>
        <v>-0.56000000238418579</v>
      </c>
      <c r="V25" s="116">
        <f t="shared" si="61"/>
        <v>-83313109</v>
      </c>
      <c r="W25" s="116"/>
      <c r="X25" s="116"/>
      <c r="Y25" s="116">
        <f>Y24-H24</f>
        <v>0</v>
      </c>
      <c r="Z25" s="116">
        <f t="shared" ref="Z25:AA25" si="62">Z24-I24</f>
        <v>0</v>
      </c>
      <c r="AA25" s="116">
        <f t="shared" si="62"/>
        <v>-2156049</v>
      </c>
      <c r="AB25" s="116"/>
      <c r="AC25" s="116"/>
      <c r="AD25" s="116">
        <f>AD24-M24</f>
        <v>-0.55999994277954102</v>
      </c>
      <c r="AE25" s="116">
        <f t="shared" ref="AE25:AF25" si="63">AE24-N24</f>
        <v>-0.55999994277954102</v>
      </c>
      <c r="AF25" s="116">
        <f t="shared" si="63"/>
        <v>-85469158</v>
      </c>
    </row>
    <row r="41" spans="38:38">
      <c r="AL41">
        <v>7</v>
      </c>
    </row>
  </sheetData>
  <mergeCells count="13">
    <mergeCell ref="A3:AD4"/>
    <mergeCell ref="A7:A8"/>
    <mergeCell ref="B7:B8"/>
    <mergeCell ref="C7:G7"/>
    <mergeCell ref="M7:Q7"/>
    <mergeCell ref="H7:L7"/>
    <mergeCell ref="T7:X7"/>
    <mergeCell ref="R7:R8"/>
    <mergeCell ref="S7:S8"/>
    <mergeCell ref="Y7:AC7"/>
    <mergeCell ref="AD7:AH7"/>
    <mergeCell ref="R6:AH6"/>
    <mergeCell ref="A6:Q6"/>
  </mergeCells>
  <pageMargins left="0.25" right="0.25" top="0.75" bottom="0.75" header="0.3" footer="0.3"/>
  <pageSetup paperSize="8" scale="29" fitToHeight="0" orientation="landscape" r:id="rId1"/>
  <colBreaks count="1" manualBreakCount="1">
    <brk id="17" max="4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7030A0"/>
    <pageSetUpPr fitToPage="1"/>
  </sheetPr>
  <dimension ref="A1:AC64"/>
  <sheetViews>
    <sheetView view="pageBreakPreview" topLeftCell="A3" zoomScaleNormal="100" zoomScaleSheetLayoutView="100" workbookViewId="0">
      <pane xSplit="2" ySplit="5" topLeftCell="Q29" activePane="bottomRight" state="frozen"/>
      <selection activeCell="A3" sqref="A3"/>
      <selection pane="topRight" activeCell="C3" sqref="C3"/>
      <selection pane="bottomLeft" activeCell="A8" sqref="A8"/>
      <selection pane="bottomRight" activeCell="AC58" sqref="AC58"/>
    </sheetView>
  </sheetViews>
  <sheetFormatPr defaultColWidth="8.7109375" defaultRowHeight="15.75"/>
  <cols>
    <col min="1" max="1" width="29.140625" style="535" customWidth="1"/>
    <col min="2" max="2" width="18" style="535" customWidth="1"/>
    <col min="3" max="5" width="23.5703125" style="535" customWidth="1"/>
    <col min="6" max="6" width="17.7109375" style="535" bestFit="1" customWidth="1"/>
    <col min="7" max="7" width="17.5703125" style="535" bestFit="1" customWidth="1"/>
    <col min="8" max="8" width="14.7109375" style="535" customWidth="1"/>
    <col min="9" max="10" width="17.85546875" style="535" customWidth="1"/>
    <col min="11" max="11" width="16.140625" style="535" bestFit="1" customWidth="1"/>
    <col min="12" max="14" width="27.5703125" style="535" customWidth="1"/>
    <col min="15" max="16" width="17.140625" style="535" customWidth="1"/>
    <col min="17" max="17" width="17.5703125" style="535" customWidth="1"/>
    <col min="18" max="18" width="16" style="535" customWidth="1"/>
    <col min="19" max="19" width="16.28515625" style="535" customWidth="1"/>
    <col min="20" max="20" width="14.5703125" style="535" customWidth="1"/>
    <col min="21" max="21" width="15.7109375" style="535" customWidth="1"/>
    <col min="22" max="22" width="17.7109375" style="535" customWidth="1"/>
    <col min="23" max="23" width="15.28515625" style="535" customWidth="1"/>
    <col min="24" max="24" width="16" style="535" customWidth="1"/>
    <col min="25" max="25" width="16.140625" style="535" bestFit="1" customWidth="1"/>
    <col min="26" max="26" width="13.7109375" style="535" customWidth="1"/>
    <col min="27" max="27" width="18.85546875" style="535" customWidth="1"/>
    <col min="28" max="28" width="19" style="535" customWidth="1"/>
    <col min="29" max="29" width="20.7109375" style="535" bestFit="1" customWidth="1"/>
    <col min="30" max="16384" width="8.7109375" style="535"/>
  </cols>
  <sheetData>
    <row r="1" spans="1:29">
      <c r="A1" s="535" t="s">
        <v>518</v>
      </c>
      <c r="AA1" s="535" t="s">
        <v>627</v>
      </c>
    </row>
    <row r="3" spans="1:29" ht="35.25" customHeight="1">
      <c r="A3" s="1277" t="s">
        <v>980</v>
      </c>
      <c r="B3" s="1277"/>
      <c r="C3" s="1277"/>
      <c r="D3" s="1277"/>
      <c r="E3" s="1277"/>
      <c r="F3" s="1277"/>
      <c r="G3" s="1277"/>
      <c r="H3" s="1277"/>
      <c r="I3" s="1277"/>
      <c r="J3" s="714"/>
      <c r="K3" s="714"/>
    </row>
    <row r="4" spans="1:29" ht="16.5" thickBot="1"/>
    <row r="5" spans="1:29" ht="15" customHeight="1" thickTop="1" thickBot="1">
      <c r="A5" s="1279" t="s">
        <v>2</v>
      </c>
      <c r="B5" s="1279" t="s">
        <v>3</v>
      </c>
      <c r="C5" s="1288" t="s">
        <v>626</v>
      </c>
      <c r="D5" s="1288"/>
      <c r="E5" s="1288"/>
      <c r="F5" s="1288"/>
      <c r="G5" s="1288"/>
      <c r="H5" s="1288"/>
      <c r="I5" s="1288"/>
      <c r="J5" s="1288"/>
      <c r="K5" s="1288"/>
      <c r="L5" s="1288"/>
      <c r="M5" s="1288"/>
      <c r="N5" s="1288"/>
      <c r="O5" s="1288"/>
      <c r="P5" s="1288"/>
      <c r="Q5" s="1288"/>
      <c r="R5" s="1288"/>
      <c r="S5" s="1288"/>
      <c r="T5" s="1288"/>
      <c r="U5" s="1288"/>
      <c r="V5" s="1288"/>
      <c r="W5" s="1288"/>
      <c r="X5" s="1288"/>
      <c r="Y5" s="1288"/>
      <c r="Z5" s="1289"/>
      <c r="AA5" s="1271" t="s">
        <v>644</v>
      </c>
      <c r="AB5" s="1272"/>
      <c r="AC5" s="1273"/>
    </row>
    <row r="6" spans="1:29" ht="45" customHeight="1" thickBot="1">
      <c r="A6" s="1280"/>
      <c r="B6" s="1280"/>
      <c r="C6" s="1281" t="s">
        <v>229</v>
      </c>
      <c r="D6" s="1282"/>
      <c r="E6" s="1282"/>
      <c r="F6" s="1283" t="s">
        <v>977</v>
      </c>
      <c r="G6" s="1283"/>
      <c r="H6" s="1283"/>
      <c r="I6" s="1283" t="s">
        <v>252</v>
      </c>
      <c r="J6" s="1283"/>
      <c r="K6" s="1284"/>
      <c r="L6" s="1285" t="s">
        <v>253</v>
      </c>
      <c r="M6" s="1283"/>
      <c r="N6" s="1286"/>
      <c r="O6" s="1285" t="s">
        <v>254</v>
      </c>
      <c r="P6" s="1283"/>
      <c r="Q6" s="1286"/>
      <c r="R6" s="1285" t="s">
        <v>718</v>
      </c>
      <c r="S6" s="1283"/>
      <c r="T6" s="1286"/>
      <c r="U6" s="1285" t="s">
        <v>978</v>
      </c>
      <c r="V6" s="1283"/>
      <c r="W6" s="1286"/>
      <c r="X6" s="1285" t="s">
        <v>979</v>
      </c>
      <c r="Y6" s="1283"/>
      <c r="Z6" s="1287"/>
      <c r="AA6" s="1274"/>
      <c r="AB6" s="1275"/>
      <c r="AC6" s="1276"/>
    </row>
    <row r="7" spans="1:29" ht="31.5" customHeight="1" thickBot="1">
      <c r="A7" s="1280"/>
      <c r="B7" s="1280"/>
      <c r="C7" s="861" t="s">
        <v>638</v>
      </c>
      <c r="D7" s="854" t="s">
        <v>648</v>
      </c>
      <c r="E7" s="854" t="s">
        <v>951</v>
      </c>
      <c r="F7" s="854" t="s">
        <v>638</v>
      </c>
      <c r="G7" s="854" t="s">
        <v>648</v>
      </c>
      <c r="H7" s="854" t="s">
        <v>951</v>
      </c>
      <c r="I7" s="854" t="s">
        <v>638</v>
      </c>
      <c r="J7" s="854" t="s">
        <v>648</v>
      </c>
      <c r="K7" s="855" t="s">
        <v>951</v>
      </c>
      <c r="L7" s="856" t="s">
        <v>638</v>
      </c>
      <c r="M7" s="857" t="s">
        <v>648</v>
      </c>
      <c r="N7" s="858" t="s">
        <v>951</v>
      </c>
      <c r="O7" s="853" t="s">
        <v>638</v>
      </c>
      <c r="P7" s="854" t="s">
        <v>648</v>
      </c>
      <c r="Q7" s="859" t="s">
        <v>951</v>
      </c>
      <c r="R7" s="853" t="s">
        <v>638</v>
      </c>
      <c r="S7" s="854" t="s">
        <v>648</v>
      </c>
      <c r="T7" s="859" t="s">
        <v>642</v>
      </c>
      <c r="U7" s="853" t="s">
        <v>638</v>
      </c>
      <c r="V7" s="854" t="s">
        <v>648</v>
      </c>
      <c r="W7" s="859" t="s">
        <v>951</v>
      </c>
      <c r="X7" s="853" t="s">
        <v>638</v>
      </c>
      <c r="Y7" s="854" t="s">
        <v>648</v>
      </c>
      <c r="Z7" s="860" t="s">
        <v>951</v>
      </c>
      <c r="AA7" s="872" t="s">
        <v>638</v>
      </c>
      <c r="AB7" s="873" t="s">
        <v>648</v>
      </c>
      <c r="AC7" s="874" t="s">
        <v>951</v>
      </c>
    </row>
    <row r="8" spans="1:29">
      <c r="A8" s="864" t="s">
        <v>645</v>
      </c>
      <c r="B8" s="865" t="s">
        <v>39</v>
      </c>
      <c r="C8" s="862"/>
      <c r="D8" s="844">
        <f>C8</f>
        <v>0</v>
      </c>
      <c r="E8" s="844"/>
      <c r="F8" s="844">
        <v>0</v>
      </c>
      <c r="G8" s="844">
        <f>F8</f>
        <v>0</v>
      </c>
      <c r="H8" s="844"/>
      <c r="I8" s="844">
        <v>0</v>
      </c>
      <c r="J8" s="844">
        <f>I8</f>
        <v>0</v>
      </c>
      <c r="K8" s="845"/>
      <c r="L8" s="846">
        <v>0</v>
      </c>
      <c r="M8" s="844">
        <f>SUM(L8)</f>
        <v>0</v>
      </c>
      <c r="N8" s="847"/>
      <c r="O8" s="848">
        <v>4070000</v>
      </c>
      <c r="P8" s="849">
        <f>O8</f>
        <v>4070000</v>
      </c>
      <c r="Q8" s="850">
        <v>1665543</v>
      </c>
      <c r="R8" s="848">
        <v>0</v>
      </c>
      <c r="S8" s="849">
        <f>R8</f>
        <v>0</v>
      </c>
      <c r="T8" s="850"/>
      <c r="U8" s="848">
        <v>0</v>
      </c>
      <c r="V8" s="849">
        <f>U8</f>
        <v>0</v>
      </c>
      <c r="W8" s="850"/>
      <c r="X8" s="848">
        <v>0</v>
      </c>
      <c r="Y8" s="849">
        <f>X8</f>
        <v>0</v>
      </c>
      <c r="Z8" s="851"/>
      <c r="AA8" s="852">
        <f>SUM(C8,F8,I8,L8,O8,R8,U8,X8)</f>
        <v>4070000</v>
      </c>
      <c r="AB8" s="852">
        <f>SUM(D8,G8,J8,M8,P8,S8,V8,Y8)</f>
        <v>4070000</v>
      </c>
      <c r="AC8" s="875">
        <f>SUM(E8,H8,K8,N8,Q8,T8,W8,Z8)</f>
        <v>1665543</v>
      </c>
    </row>
    <row r="9" spans="1:29">
      <c r="A9" s="864" t="s">
        <v>646</v>
      </c>
      <c r="B9" s="865" t="s">
        <v>41</v>
      </c>
      <c r="C9" s="863"/>
      <c r="D9" s="759">
        <f t="shared" ref="D9:D59" si="0">C9</f>
        <v>0</v>
      </c>
      <c r="E9" s="759"/>
      <c r="F9" s="759">
        <v>0</v>
      </c>
      <c r="G9" s="759">
        <f t="shared" ref="G9:G59" si="1">F9</f>
        <v>0</v>
      </c>
      <c r="H9" s="759"/>
      <c r="I9" s="759">
        <v>0</v>
      </c>
      <c r="J9" s="759">
        <f t="shared" ref="J9:J59" si="2">I9</f>
        <v>0</v>
      </c>
      <c r="K9" s="825"/>
      <c r="L9" s="833">
        <v>0</v>
      </c>
      <c r="M9" s="759">
        <f t="shared" ref="M9:M59" si="3">SUM(L9)</f>
        <v>0</v>
      </c>
      <c r="N9" s="834"/>
      <c r="O9" s="840">
        <v>529100</v>
      </c>
      <c r="P9" s="817">
        <f t="shared" ref="P9:P59" si="4">O9</f>
        <v>529100</v>
      </c>
      <c r="Q9" s="794">
        <v>266222</v>
      </c>
      <c r="R9" s="840">
        <v>0</v>
      </c>
      <c r="S9" s="817">
        <f t="shared" ref="S9:S59" si="5">R9</f>
        <v>0</v>
      </c>
      <c r="T9" s="794"/>
      <c r="U9" s="840">
        <v>0</v>
      </c>
      <c r="V9" s="817">
        <f t="shared" ref="V9:V54" si="6">U9</f>
        <v>0</v>
      </c>
      <c r="W9" s="794"/>
      <c r="X9" s="840">
        <v>0</v>
      </c>
      <c r="Y9" s="817">
        <f t="shared" ref="Y9:Y59" si="7">X9</f>
        <v>0</v>
      </c>
      <c r="Z9" s="805"/>
      <c r="AA9" s="822">
        <f t="shared" ref="AA9:AA59" si="8">SUM(C9,F9,I9,L9,O9,R9,U9,X9)</f>
        <v>529100</v>
      </c>
      <c r="AB9" s="822">
        <f t="shared" ref="AB9:AB57" si="9">SUM(D9,G9,J9,M9,P9,S9,V9,Y9)</f>
        <v>529100</v>
      </c>
      <c r="AC9" s="876">
        <f t="shared" ref="AC9:AC59" si="10">SUM(E9,H9,K9,N9,Q9,T9,W9,Z9)</f>
        <v>266222</v>
      </c>
    </row>
    <row r="10" spans="1:29">
      <c r="A10" s="864" t="s">
        <v>259</v>
      </c>
      <c r="B10" s="865" t="s">
        <v>44</v>
      </c>
      <c r="C10" s="784">
        <f>SUM(C11:C11)</f>
        <v>0</v>
      </c>
      <c r="D10" s="759">
        <f t="shared" si="0"/>
        <v>0</v>
      </c>
      <c r="E10" s="760"/>
      <c r="F10" s="760">
        <f>SUM(F11:F11)</f>
        <v>0</v>
      </c>
      <c r="G10" s="759">
        <f t="shared" si="1"/>
        <v>0</v>
      </c>
      <c r="H10" s="760"/>
      <c r="I10" s="760">
        <f>SUM(I11:I11)</f>
        <v>0</v>
      </c>
      <c r="J10" s="759">
        <f t="shared" si="2"/>
        <v>0</v>
      </c>
      <c r="K10" s="826"/>
      <c r="L10" s="793">
        <f>SUM(L11:L11)</f>
        <v>0</v>
      </c>
      <c r="M10" s="759">
        <f t="shared" si="3"/>
        <v>0</v>
      </c>
      <c r="N10" s="794"/>
      <c r="O10" s="793">
        <f>SUM(O11:O11)</f>
        <v>0</v>
      </c>
      <c r="P10" s="817">
        <f t="shared" si="4"/>
        <v>0</v>
      </c>
      <c r="Q10" s="794"/>
      <c r="R10" s="793">
        <f>SUM(R11:R11)</f>
        <v>0</v>
      </c>
      <c r="S10" s="763">
        <f t="shared" si="5"/>
        <v>0</v>
      </c>
      <c r="T10" s="794"/>
      <c r="U10" s="793">
        <f>SUM(U11:U11)</f>
        <v>0</v>
      </c>
      <c r="V10" s="817">
        <f t="shared" si="6"/>
        <v>0</v>
      </c>
      <c r="W10" s="794"/>
      <c r="X10" s="793">
        <f>SUM(X11:X11)</f>
        <v>0</v>
      </c>
      <c r="Y10" s="817">
        <f t="shared" si="7"/>
        <v>0</v>
      </c>
      <c r="Z10" s="805"/>
      <c r="AA10" s="822">
        <f t="shared" si="8"/>
        <v>0</v>
      </c>
      <c r="AB10" s="822">
        <f t="shared" si="9"/>
        <v>0</v>
      </c>
      <c r="AC10" s="876">
        <f t="shared" si="10"/>
        <v>0</v>
      </c>
    </row>
    <row r="11" spans="1:29">
      <c r="A11" s="866" t="s">
        <v>263</v>
      </c>
      <c r="B11" s="867"/>
      <c r="C11" s="785"/>
      <c r="D11" s="759">
        <f t="shared" si="0"/>
        <v>0</v>
      </c>
      <c r="E11" s="761"/>
      <c r="F11" s="761"/>
      <c r="G11" s="759"/>
      <c r="H11" s="761"/>
      <c r="I11" s="761"/>
      <c r="J11" s="759"/>
      <c r="K11" s="827"/>
      <c r="L11" s="795"/>
      <c r="M11" s="759">
        <f t="shared" si="3"/>
        <v>0</v>
      </c>
      <c r="N11" s="796"/>
      <c r="O11" s="795"/>
      <c r="P11" s="763"/>
      <c r="Q11" s="796"/>
      <c r="R11" s="795"/>
      <c r="S11" s="763"/>
      <c r="T11" s="796"/>
      <c r="U11" s="795"/>
      <c r="V11" s="763"/>
      <c r="W11" s="796"/>
      <c r="X11" s="795"/>
      <c r="Y11" s="763"/>
      <c r="Z11" s="806"/>
      <c r="AA11" s="822">
        <f t="shared" si="8"/>
        <v>0</v>
      </c>
      <c r="AB11" s="822">
        <f t="shared" si="9"/>
        <v>0</v>
      </c>
      <c r="AC11" s="876">
        <f t="shared" si="10"/>
        <v>0</v>
      </c>
    </row>
    <row r="12" spans="1:29" s="698" customFormat="1" ht="31.5">
      <c r="A12" s="868" t="s">
        <v>264</v>
      </c>
      <c r="B12" s="865" t="s">
        <v>49</v>
      </c>
      <c r="C12" s="784">
        <f>SUM(C13:C14)</f>
        <v>700000</v>
      </c>
      <c r="D12" s="814">
        <f t="shared" si="0"/>
        <v>700000</v>
      </c>
      <c r="E12" s="760">
        <f t="shared" ref="E12:R12" si="11">SUM(E13:E14)</f>
        <v>229217</v>
      </c>
      <c r="F12" s="760">
        <f t="shared" si="11"/>
        <v>110000</v>
      </c>
      <c r="G12" s="760">
        <f t="shared" si="11"/>
        <v>110000</v>
      </c>
      <c r="H12" s="760">
        <f t="shared" si="11"/>
        <v>80298</v>
      </c>
      <c r="I12" s="760">
        <f t="shared" si="11"/>
        <v>0</v>
      </c>
      <c r="J12" s="814">
        <f t="shared" si="2"/>
        <v>0</v>
      </c>
      <c r="K12" s="826"/>
      <c r="L12" s="793">
        <f t="shared" si="11"/>
        <v>10000</v>
      </c>
      <c r="M12" s="814">
        <f t="shared" si="3"/>
        <v>10000</v>
      </c>
      <c r="N12" s="794">
        <f t="shared" si="11"/>
        <v>0</v>
      </c>
      <c r="O12" s="793">
        <f t="shared" si="11"/>
        <v>200000</v>
      </c>
      <c r="P12" s="760">
        <f t="shared" si="11"/>
        <v>200000</v>
      </c>
      <c r="Q12" s="794">
        <f t="shared" si="11"/>
        <v>46029</v>
      </c>
      <c r="R12" s="793">
        <f t="shared" si="11"/>
        <v>0</v>
      </c>
      <c r="S12" s="821">
        <f t="shared" si="5"/>
        <v>0</v>
      </c>
      <c r="T12" s="794"/>
      <c r="U12" s="793">
        <f t="shared" ref="U12" si="12">SUM(U13:U14)</f>
        <v>0</v>
      </c>
      <c r="V12" s="821">
        <f t="shared" si="6"/>
        <v>0</v>
      </c>
      <c r="W12" s="794"/>
      <c r="X12" s="793">
        <f t="shared" ref="X12:Z12" si="13">SUM(X13:X14)</f>
        <v>0</v>
      </c>
      <c r="Y12" s="760">
        <f t="shared" si="13"/>
        <v>0</v>
      </c>
      <c r="Z12" s="805">
        <f t="shared" si="13"/>
        <v>5050</v>
      </c>
      <c r="AA12" s="822">
        <f t="shared" si="8"/>
        <v>1020000</v>
      </c>
      <c r="AB12" s="822">
        <f t="shared" si="9"/>
        <v>1020000</v>
      </c>
      <c r="AC12" s="876">
        <f t="shared" si="10"/>
        <v>360594</v>
      </c>
    </row>
    <row r="13" spans="1:29" ht="31.5">
      <c r="A13" s="866" t="s">
        <v>969</v>
      </c>
      <c r="B13" s="867"/>
      <c r="C13" s="785"/>
      <c r="D13" s="759"/>
      <c r="E13" s="761">
        <v>122418</v>
      </c>
      <c r="F13" s="761"/>
      <c r="G13" s="759"/>
      <c r="H13" s="761"/>
      <c r="I13" s="761"/>
      <c r="J13" s="759"/>
      <c r="K13" s="827"/>
      <c r="L13" s="795">
        <v>10000</v>
      </c>
      <c r="M13" s="759">
        <f t="shared" si="3"/>
        <v>10000</v>
      </c>
      <c r="N13" s="796"/>
      <c r="O13" s="795">
        <v>200000</v>
      </c>
      <c r="P13" s="763">
        <f t="shared" si="4"/>
        <v>200000</v>
      </c>
      <c r="Q13" s="796">
        <v>46029</v>
      </c>
      <c r="R13" s="795"/>
      <c r="S13" s="763"/>
      <c r="T13" s="796"/>
      <c r="U13" s="795"/>
      <c r="V13" s="763"/>
      <c r="W13" s="796"/>
      <c r="X13" s="795"/>
      <c r="Y13" s="763"/>
      <c r="Z13" s="806"/>
      <c r="AA13" s="822">
        <f t="shared" si="8"/>
        <v>210000</v>
      </c>
      <c r="AB13" s="822">
        <f t="shared" si="9"/>
        <v>210000</v>
      </c>
      <c r="AC13" s="876">
        <f t="shared" si="10"/>
        <v>168447</v>
      </c>
    </row>
    <row r="14" spans="1:29">
      <c r="A14" s="866" t="s">
        <v>269</v>
      </c>
      <c r="B14" s="867"/>
      <c r="C14" s="785">
        <v>700000</v>
      </c>
      <c r="D14" s="815">
        <f t="shared" si="0"/>
        <v>700000</v>
      </c>
      <c r="E14" s="761">
        <v>106799</v>
      </c>
      <c r="F14" s="761">
        <v>110000</v>
      </c>
      <c r="G14" s="759">
        <f t="shared" si="1"/>
        <v>110000</v>
      </c>
      <c r="H14" s="761">
        <v>80298</v>
      </c>
      <c r="I14" s="761"/>
      <c r="J14" s="759"/>
      <c r="K14" s="827"/>
      <c r="L14" s="795">
        <v>0</v>
      </c>
      <c r="M14" s="759">
        <f t="shared" si="3"/>
        <v>0</v>
      </c>
      <c r="N14" s="796"/>
      <c r="O14" s="795"/>
      <c r="P14" s="763"/>
      <c r="Q14" s="796"/>
      <c r="R14" s="795"/>
      <c r="S14" s="763"/>
      <c r="T14" s="796"/>
      <c r="U14" s="795"/>
      <c r="V14" s="763"/>
      <c r="W14" s="796"/>
      <c r="X14" s="795"/>
      <c r="Y14" s="763"/>
      <c r="Z14" s="806">
        <v>5050</v>
      </c>
      <c r="AA14" s="822">
        <f t="shared" si="8"/>
        <v>810000</v>
      </c>
      <c r="AB14" s="822">
        <f t="shared" si="9"/>
        <v>810000</v>
      </c>
      <c r="AC14" s="876">
        <f t="shared" si="10"/>
        <v>192147</v>
      </c>
    </row>
    <row r="15" spans="1:29">
      <c r="A15" s="864" t="s">
        <v>270</v>
      </c>
      <c r="B15" s="865" t="s">
        <v>271</v>
      </c>
      <c r="C15" s="786"/>
      <c r="D15" s="759"/>
      <c r="E15" s="762"/>
      <c r="F15" s="762">
        <v>0</v>
      </c>
      <c r="G15" s="759">
        <f t="shared" si="1"/>
        <v>0</v>
      </c>
      <c r="H15" s="762"/>
      <c r="I15" s="762">
        <v>0</v>
      </c>
      <c r="J15" s="759">
        <f t="shared" si="2"/>
        <v>0</v>
      </c>
      <c r="K15" s="828"/>
      <c r="L15" s="797">
        <v>10000</v>
      </c>
      <c r="M15" s="759">
        <f t="shared" si="3"/>
        <v>10000</v>
      </c>
      <c r="N15" s="798"/>
      <c r="O15" s="797">
        <v>0</v>
      </c>
      <c r="P15" s="762">
        <v>0</v>
      </c>
      <c r="Q15" s="798"/>
      <c r="R15" s="797">
        <v>0</v>
      </c>
      <c r="S15" s="817">
        <v>0</v>
      </c>
      <c r="T15" s="798"/>
      <c r="U15" s="797">
        <v>0</v>
      </c>
      <c r="V15" s="817">
        <f t="shared" si="6"/>
        <v>0</v>
      </c>
      <c r="W15" s="798"/>
      <c r="X15" s="797">
        <v>0</v>
      </c>
      <c r="Y15" s="817">
        <f t="shared" si="7"/>
        <v>0</v>
      </c>
      <c r="Z15" s="807"/>
      <c r="AA15" s="822">
        <f t="shared" si="8"/>
        <v>10000</v>
      </c>
      <c r="AB15" s="822">
        <f t="shared" si="9"/>
        <v>10000</v>
      </c>
      <c r="AC15" s="876">
        <f t="shared" si="10"/>
        <v>0</v>
      </c>
    </row>
    <row r="16" spans="1:29">
      <c r="A16" s="864" t="s">
        <v>272</v>
      </c>
      <c r="B16" s="865" t="s">
        <v>56</v>
      </c>
      <c r="C16" s="784">
        <f>SUM(C12,C10,C15)</f>
        <v>700000</v>
      </c>
      <c r="D16" s="759">
        <f t="shared" si="0"/>
        <v>700000</v>
      </c>
      <c r="E16" s="760">
        <f>SUM(E15,E12,E10)</f>
        <v>229217</v>
      </c>
      <c r="F16" s="760">
        <f t="shared" ref="F16:N16" si="14">SUM(F12,F10,F15)</f>
        <v>110000</v>
      </c>
      <c r="G16" s="760">
        <f t="shared" si="14"/>
        <v>110000</v>
      </c>
      <c r="H16" s="760">
        <f t="shared" si="14"/>
        <v>80298</v>
      </c>
      <c r="I16" s="760">
        <f t="shared" si="14"/>
        <v>0</v>
      </c>
      <c r="J16" s="759">
        <f t="shared" si="2"/>
        <v>0</v>
      </c>
      <c r="K16" s="826"/>
      <c r="L16" s="793">
        <f t="shared" si="14"/>
        <v>20000</v>
      </c>
      <c r="M16" s="759">
        <f t="shared" si="3"/>
        <v>20000</v>
      </c>
      <c r="N16" s="794">
        <f t="shared" si="14"/>
        <v>0</v>
      </c>
      <c r="O16" s="793">
        <f>SUM(O12,O10,O15)</f>
        <v>200000</v>
      </c>
      <c r="P16" s="760">
        <f>SUM(P12,P10,P15)</f>
        <v>200000</v>
      </c>
      <c r="Q16" s="794">
        <f>SUM(Q15,Q12,Q10)</f>
        <v>46029</v>
      </c>
      <c r="R16" s="793">
        <f t="shared" ref="R16" si="15">SUM(R12,R10,R15)</f>
        <v>0</v>
      </c>
      <c r="S16" s="817">
        <f t="shared" si="5"/>
        <v>0</v>
      </c>
      <c r="T16" s="794"/>
      <c r="U16" s="793">
        <f t="shared" ref="U16:W16" si="16">SUM(U12,U10,U15)</f>
        <v>0</v>
      </c>
      <c r="V16" s="760">
        <f t="shared" si="16"/>
        <v>0</v>
      </c>
      <c r="W16" s="794">
        <f t="shared" si="16"/>
        <v>0</v>
      </c>
      <c r="X16" s="793">
        <f t="shared" ref="X16:Z16" si="17">SUM(X12,X10,X15)</f>
        <v>0</v>
      </c>
      <c r="Y16" s="760">
        <f t="shared" si="17"/>
        <v>0</v>
      </c>
      <c r="Z16" s="805">
        <f t="shared" si="17"/>
        <v>5050</v>
      </c>
      <c r="AA16" s="822">
        <f t="shared" si="8"/>
        <v>1030000</v>
      </c>
      <c r="AB16" s="822">
        <f t="shared" si="9"/>
        <v>1030000</v>
      </c>
      <c r="AC16" s="876">
        <f t="shared" si="10"/>
        <v>360594</v>
      </c>
    </row>
    <row r="17" spans="1:29" s="698" customFormat="1" ht="31.5">
      <c r="A17" s="868" t="s">
        <v>273</v>
      </c>
      <c r="B17" s="865" t="s">
        <v>58</v>
      </c>
      <c r="C17" s="831">
        <v>40000</v>
      </c>
      <c r="D17" s="814">
        <f t="shared" si="0"/>
        <v>40000</v>
      </c>
      <c r="E17" s="816"/>
      <c r="F17" s="816">
        <v>0</v>
      </c>
      <c r="G17" s="814">
        <f t="shared" si="1"/>
        <v>0</v>
      </c>
      <c r="H17" s="816"/>
      <c r="I17" s="816">
        <v>0</v>
      </c>
      <c r="J17" s="814">
        <f t="shared" si="2"/>
        <v>0</v>
      </c>
      <c r="K17" s="829"/>
      <c r="L17" s="835"/>
      <c r="M17" s="814">
        <f t="shared" si="3"/>
        <v>0</v>
      </c>
      <c r="N17" s="836"/>
      <c r="O17" s="835">
        <v>0</v>
      </c>
      <c r="P17" s="816">
        <v>0</v>
      </c>
      <c r="Q17" s="836"/>
      <c r="R17" s="835">
        <v>0</v>
      </c>
      <c r="S17" s="821">
        <f t="shared" si="5"/>
        <v>0</v>
      </c>
      <c r="T17" s="836"/>
      <c r="U17" s="835">
        <v>0</v>
      </c>
      <c r="V17" s="821">
        <f t="shared" si="6"/>
        <v>0</v>
      </c>
      <c r="W17" s="836"/>
      <c r="X17" s="835">
        <v>0</v>
      </c>
      <c r="Y17" s="816">
        <v>0</v>
      </c>
      <c r="Z17" s="842"/>
      <c r="AA17" s="822">
        <f t="shared" si="8"/>
        <v>40000</v>
      </c>
      <c r="AB17" s="822">
        <f t="shared" si="9"/>
        <v>40000</v>
      </c>
      <c r="AC17" s="876">
        <f t="shared" si="10"/>
        <v>0</v>
      </c>
    </row>
    <row r="18" spans="1:29" s="698" customFormat="1" ht="31.5">
      <c r="A18" s="868" t="s">
        <v>278</v>
      </c>
      <c r="B18" s="865" t="s">
        <v>60</v>
      </c>
      <c r="C18" s="831">
        <v>30000</v>
      </c>
      <c r="D18" s="814">
        <f t="shared" si="0"/>
        <v>30000</v>
      </c>
      <c r="E18" s="816">
        <v>19367</v>
      </c>
      <c r="F18" s="816">
        <v>0</v>
      </c>
      <c r="G18" s="814">
        <f t="shared" si="1"/>
        <v>0</v>
      </c>
      <c r="H18" s="816"/>
      <c r="I18" s="816">
        <v>0</v>
      </c>
      <c r="J18" s="814">
        <f t="shared" si="2"/>
        <v>0</v>
      </c>
      <c r="K18" s="829"/>
      <c r="L18" s="835"/>
      <c r="M18" s="814">
        <f t="shared" si="3"/>
        <v>0</v>
      </c>
      <c r="N18" s="836"/>
      <c r="O18" s="835">
        <v>0</v>
      </c>
      <c r="P18" s="816">
        <v>0</v>
      </c>
      <c r="Q18" s="836"/>
      <c r="R18" s="835">
        <v>0</v>
      </c>
      <c r="S18" s="821">
        <f t="shared" si="5"/>
        <v>0</v>
      </c>
      <c r="T18" s="836"/>
      <c r="U18" s="835">
        <v>0</v>
      </c>
      <c r="V18" s="821">
        <f t="shared" si="6"/>
        <v>0</v>
      </c>
      <c r="W18" s="836"/>
      <c r="X18" s="835">
        <v>0</v>
      </c>
      <c r="Y18" s="816">
        <v>0</v>
      </c>
      <c r="Z18" s="842"/>
      <c r="AA18" s="822">
        <f t="shared" si="8"/>
        <v>30000</v>
      </c>
      <c r="AB18" s="822">
        <f t="shared" si="9"/>
        <v>30000</v>
      </c>
      <c r="AC18" s="876">
        <f t="shared" si="10"/>
        <v>19367</v>
      </c>
    </row>
    <row r="19" spans="1:29" ht="31.5">
      <c r="A19" s="866" t="s">
        <v>279</v>
      </c>
      <c r="B19" s="867"/>
      <c r="C19" s="785"/>
      <c r="D19" s="759"/>
      <c r="E19" s="761"/>
      <c r="F19" s="761"/>
      <c r="G19" s="759"/>
      <c r="H19" s="761"/>
      <c r="I19" s="761"/>
      <c r="J19" s="759"/>
      <c r="K19" s="827"/>
      <c r="L19" s="795"/>
      <c r="M19" s="759">
        <f t="shared" si="3"/>
        <v>0</v>
      </c>
      <c r="N19" s="796"/>
      <c r="O19" s="795"/>
      <c r="P19" s="763"/>
      <c r="Q19" s="796"/>
      <c r="R19" s="795"/>
      <c r="S19" s="763"/>
      <c r="T19" s="796"/>
      <c r="U19" s="795"/>
      <c r="V19" s="763"/>
      <c r="W19" s="796"/>
      <c r="X19" s="795"/>
      <c r="Y19" s="763"/>
      <c r="Z19" s="806"/>
      <c r="AA19" s="822">
        <f t="shared" si="8"/>
        <v>0</v>
      </c>
      <c r="AB19" s="822">
        <f t="shared" si="9"/>
        <v>0</v>
      </c>
      <c r="AC19" s="876">
        <f t="shared" si="10"/>
        <v>0</v>
      </c>
    </row>
    <row r="20" spans="1:29" ht="35.25" customHeight="1">
      <c r="A20" s="866" t="s">
        <v>280</v>
      </c>
      <c r="B20" s="867"/>
      <c r="C20" s="785"/>
      <c r="D20" s="759"/>
      <c r="E20" s="761"/>
      <c r="F20" s="761"/>
      <c r="G20" s="759"/>
      <c r="H20" s="761"/>
      <c r="I20" s="761"/>
      <c r="J20" s="759"/>
      <c r="K20" s="827"/>
      <c r="L20" s="795"/>
      <c r="M20" s="759">
        <f t="shared" si="3"/>
        <v>0</v>
      </c>
      <c r="N20" s="796"/>
      <c r="O20" s="795"/>
      <c r="P20" s="763"/>
      <c r="Q20" s="796"/>
      <c r="R20" s="795"/>
      <c r="S20" s="763"/>
      <c r="T20" s="796"/>
      <c r="U20" s="795"/>
      <c r="V20" s="763"/>
      <c r="W20" s="796"/>
      <c r="X20" s="795"/>
      <c r="Y20" s="763"/>
      <c r="Z20" s="806"/>
      <c r="AA20" s="822">
        <f t="shared" si="8"/>
        <v>0</v>
      </c>
      <c r="AB20" s="822">
        <f t="shared" si="9"/>
        <v>0</v>
      </c>
      <c r="AC20" s="876">
        <f t="shared" si="10"/>
        <v>0</v>
      </c>
    </row>
    <row r="21" spans="1:29" s="698" customFormat="1" ht="31.5">
      <c r="A21" s="868" t="s">
        <v>62</v>
      </c>
      <c r="B21" s="865" t="s">
        <v>63</v>
      </c>
      <c r="C21" s="784">
        <f>SUM(C17,C18)</f>
        <v>70000</v>
      </c>
      <c r="D21" s="760">
        <f>SUM(D17,D18)</f>
        <v>70000</v>
      </c>
      <c r="E21" s="760">
        <f>SUM(E18,E17)</f>
        <v>19367</v>
      </c>
      <c r="F21" s="760">
        <f>SUM(F17,F18)</f>
        <v>0</v>
      </c>
      <c r="G21" s="814">
        <f t="shared" si="1"/>
        <v>0</v>
      </c>
      <c r="H21" s="760"/>
      <c r="I21" s="760">
        <v>0</v>
      </c>
      <c r="J21" s="814">
        <f t="shared" si="2"/>
        <v>0</v>
      </c>
      <c r="K21" s="826"/>
      <c r="L21" s="793">
        <f>SUM(L17,L18)</f>
        <v>0</v>
      </c>
      <c r="M21" s="814">
        <f t="shared" si="3"/>
        <v>0</v>
      </c>
      <c r="N21" s="794">
        <f>SUM(N17,N18)</f>
        <v>0</v>
      </c>
      <c r="O21" s="793">
        <f>SUM(O17,O18)</f>
        <v>0</v>
      </c>
      <c r="P21" s="760">
        <f>SUM(P17,P18)</f>
        <v>0</v>
      </c>
      <c r="Q21" s="794"/>
      <c r="R21" s="793">
        <f>SUM(R17,R18)</f>
        <v>0</v>
      </c>
      <c r="S21" s="821">
        <f t="shared" si="5"/>
        <v>0</v>
      </c>
      <c r="T21" s="794"/>
      <c r="U21" s="793">
        <f>SUM(U17,U18)</f>
        <v>0</v>
      </c>
      <c r="V21" s="821">
        <f t="shared" si="6"/>
        <v>0</v>
      </c>
      <c r="W21" s="794"/>
      <c r="X21" s="793">
        <f>SUM(X17,X18)</f>
        <v>0</v>
      </c>
      <c r="Y21" s="760">
        <f>SUM(Y17,Y18)</f>
        <v>0</v>
      </c>
      <c r="Z21" s="805"/>
      <c r="AA21" s="822">
        <f t="shared" si="8"/>
        <v>70000</v>
      </c>
      <c r="AB21" s="822">
        <f t="shared" si="9"/>
        <v>70000</v>
      </c>
      <c r="AC21" s="876">
        <f t="shared" si="10"/>
        <v>19367</v>
      </c>
    </row>
    <row r="22" spans="1:29">
      <c r="A22" s="864" t="s">
        <v>281</v>
      </c>
      <c r="B22" s="865" t="s">
        <v>65</v>
      </c>
      <c r="C22" s="784">
        <v>1500000</v>
      </c>
      <c r="D22" s="759">
        <f t="shared" si="0"/>
        <v>1500000</v>
      </c>
      <c r="E22" s="760">
        <f>SUM(E23:E25)</f>
        <v>622249</v>
      </c>
      <c r="F22" s="760">
        <f t="shared" ref="F22:P22" si="18">SUM(F23:F25)</f>
        <v>0</v>
      </c>
      <c r="G22" s="759">
        <f t="shared" si="1"/>
        <v>0</v>
      </c>
      <c r="H22" s="760"/>
      <c r="I22" s="760">
        <v>2800000</v>
      </c>
      <c r="J22" s="759">
        <f t="shared" si="2"/>
        <v>2800000</v>
      </c>
      <c r="K22" s="826">
        <f>SUM(K23:K25)</f>
        <v>884434</v>
      </c>
      <c r="L22" s="793">
        <v>50000</v>
      </c>
      <c r="M22" s="759">
        <f t="shared" si="3"/>
        <v>50000</v>
      </c>
      <c r="N22" s="834">
        <f>SUM(N23:N25)</f>
        <v>864</v>
      </c>
      <c r="O22" s="793">
        <f t="shared" si="18"/>
        <v>0</v>
      </c>
      <c r="P22" s="760">
        <f t="shared" si="18"/>
        <v>0</v>
      </c>
      <c r="Q22" s="794"/>
      <c r="R22" s="793">
        <f t="shared" ref="R22" si="19">SUM(R23:R25)</f>
        <v>0</v>
      </c>
      <c r="S22" s="817">
        <f t="shared" si="5"/>
        <v>0</v>
      </c>
      <c r="T22" s="794"/>
      <c r="U22" s="793">
        <v>300000</v>
      </c>
      <c r="V22" s="817">
        <f t="shared" si="6"/>
        <v>300000</v>
      </c>
      <c r="W22" s="794">
        <f>SUM(W23:W25)</f>
        <v>97410</v>
      </c>
      <c r="X22" s="793">
        <f t="shared" ref="X22" si="20">SUM(X23:X25)</f>
        <v>0</v>
      </c>
      <c r="Y22" s="817">
        <f t="shared" si="7"/>
        <v>0</v>
      </c>
      <c r="Z22" s="805"/>
      <c r="AA22" s="822">
        <f t="shared" si="8"/>
        <v>4650000</v>
      </c>
      <c r="AB22" s="822">
        <f t="shared" si="9"/>
        <v>4650000</v>
      </c>
      <c r="AC22" s="876">
        <f t="shared" si="10"/>
        <v>1604957</v>
      </c>
    </row>
    <row r="23" spans="1:29">
      <c r="A23" s="866" t="s">
        <v>282</v>
      </c>
      <c r="B23" s="867"/>
      <c r="C23" s="785"/>
      <c r="D23" s="759"/>
      <c r="E23" s="761">
        <v>179416</v>
      </c>
      <c r="F23" s="761"/>
      <c r="G23" s="759"/>
      <c r="H23" s="761"/>
      <c r="I23" s="761">
        <v>2800000</v>
      </c>
      <c r="J23" s="815">
        <v>2800000</v>
      </c>
      <c r="K23" s="827">
        <v>884434</v>
      </c>
      <c r="L23" s="795"/>
      <c r="M23" s="759">
        <f t="shared" si="3"/>
        <v>0</v>
      </c>
      <c r="N23" s="796"/>
      <c r="O23" s="795"/>
      <c r="P23" s="763"/>
      <c r="Q23" s="796"/>
      <c r="R23" s="795"/>
      <c r="S23" s="763"/>
      <c r="T23" s="796"/>
      <c r="U23" s="795"/>
      <c r="V23" s="763"/>
      <c r="W23" s="796">
        <v>97410</v>
      </c>
      <c r="X23" s="795"/>
      <c r="Y23" s="763"/>
      <c r="Z23" s="806"/>
      <c r="AA23" s="822">
        <f t="shared" si="8"/>
        <v>2800000</v>
      </c>
      <c r="AB23" s="822">
        <f t="shared" si="9"/>
        <v>2800000</v>
      </c>
      <c r="AC23" s="876">
        <f t="shared" si="10"/>
        <v>1161260</v>
      </c>
    </row>
    <row r="24" spans="1:29">
      <c r="A24" s="866" t="s">
        <v>283</v>
      </c>
      <c r="B24" s="867"/>
      <c r="C24" s="785"/>
      <c r="D24" s="759"/>
      <c r="E24" s="761">
        <v>430897</v>
      </c>
      <c r="F24" s="761"/>
      <c r="G24" s="759"/>
      <c r="H24" s="761"/>
      <c r="I24" s="761"/>
      <c r="J24" s="759"/>
      <c r="K24" s="827"/>
      <c r="L24" s="795"/>
      <c r="M24" s="759">
        <f t="shared" si="3"/>
        <v>0</v>
      </c>
      <c r="N24" s="796"/>
      <c r="O24" s="795"/>
      <c r="P24" s="763"/>
      <c r="Q24" s="796"/>
      <c r="R24" s="795"/>
      <c r="S24" s="763"/>
      <c r="T24" s="796"/>
      <c r="U24" s="795"/>
      <c r="V24" s="763"/>
      <c r="W24" s="796"/>
      <c r="X24" s="795"/>
      <c r="Y24" s="763"/>
      <c r="Z24" s="806"/>
      <c r="AA24" s="822">
        <f t="shared" si="8"/>
        <v>0</v>
      </c>
      <c r="AB24" s="822">
        <f t="shared" si="9"/>
        <v>0</v>
      </c>
      <c r="AC24" s="876">
        <f t="shared" si="10"/>
        <v>430897</v>
      </c>
    </row>
    <row r="25" spans="1:29">
      <c r="A25" s="866" t="s">
        <v>284</v>
      </c>
      <c r="B25" s="867"/>
      <c r="C25" s="785"/>
      <c r="D25" s="759"/>
      <c r="E25" s="761">
        <v>11936</v>
      </c>
      <c r="F25" s="761"/>
      <c r="G25" s="759"/>
      <c r="H25" s="761"/>
      <c r="I25" s="761"/>
      <c r="J25" s="759"/>
      <c r="K25" s="827"/>
      <c r="L25" s="795"/>
      <c r="M25" s="759">
        <f t="shared" si="3"/>
        <v>0</v>
      </c>
      <c r="N25" s="796">
        <v>864</v>
      </c>
      <c r="O25" s="795"/>
      <c r="P25" s="763"/>
      <c r="Q25" s="796"/>
      <c r="R25" s="795"/>
      <c r="S25" s="763"/>
      <c r="T25" s="796"/>
      <c r="U25" s="795"/>
      <c r="V25" s="763"/>
      <c r="W25" s="796"/>
      <c r="X25" s="795"/>
      <c r="Y25" s="763"/>
      <c r="Z25" s="806"/>
      <c r="AA25" s="822">
        <f t="shared" si="8"/>
        <v>0</v>
      </c>
      <c r="AB25" s="822">
        <f t="shared" si="9"/>
        <v>0</v>
      </c>
      <c r="AC25" s="876">
        <f t="shared" si="10"/>
        <v>12800</v>
      </c>
    </row>
    <row r="26" spans="1:29">
      <c r="A26" s="864" t="s">
        <v>285</v>
      </c>
      <c r="B26" s="865" t="s">
        <v>69</v>
      </c>
      <c r="C26" s="786"/>
      <c r="D26" s="759">
        <f t="shared" si="0"/>
        <v>0</v>
      </c>
      <c r="E26" s="762"/>
      <c r="F26" s="762">
        <v>0</v>
      </c>
      <c r="G26" s="759">
        <f t="shared" si="1"/>
        <v>0</v>
      </c>
      <c r="H26" s="762"/>
      <c r="I26" s="762">
        <v>0</v>
      </c>
      <c r="J26" s="759">
        <f t="shared" si="2"/>
        <v>0</v>
      </c>
      <c r="K26" s="828"/>
      <c r="L26" s="797"/>
      <c r="M26" s="759">
        <f t="shared" si="3"/>
        <v>0</v>
      </c>
      <c r="N26" s="798"/>
      <c r="O26" s="797">
        <v>0</v>
      </c>
      <c r="P26" s="762">
        <v>0</v>
      </c>
      <c r="Q26" s="798"/>
      <c r="R26" s="797">
        <v>0</v>
      </c>
      <c r="S26" s="817">
        <f t="shared" si="5"/>
        <v>0</v>
      </c>
      <c r="T26" s="798"/>
      <c r="U26" s="797">
        <v>0</v>
      </c>
      <c r="V26" s="817">
        <f t="shared" si="6"/>
        <v>0</v>
      </c>
      <c r="W26" s="798"/>
      <c r="X26" s="797">
        <v>0</v>
      </c>
      <c r="Y26" s="817">
        <f t="shared" si="7"/>
        <v>0</v>
      </c>
      <c r="Z26" s="807"/>
      <c r="AA26" s="822">
        <f t="shared" si="8"/>
        <v>0</v>
      </c>
      <c r="AB26" s="822">
        <f t="shared" si="9"/>
        <v>0</v>
      </c>
      <c r="AC26" s="876">
        <f t="shared" si="10"/>
        <v>0</v>
      </c>
    </row>
    <row r="27" spans="1:29">
      <c r="A27" s="864" t="s">
        <v>286</v>
      </c>
      <c r="B27" s="865" t="s">
        <v>72</v>
      </c>
      <c r="C27" s="786"/>
      <c r="D27" s="759">
        <f t="shared" si="0"/>
        <v>0</v>
      </c>
      <c r="E27" s="762"/>
      <c r="F27" s="762">
        <v>0</v>
      </c>
      <c r="G27" s="759">
        <f t="shared" si="1"/>
        <v>0</v>
      </c>
      <c r="H27" s="762"/>
      <c r="I27" s="762">
        <v>0</v>
      </c>
      <c r="J27" s="759">
        <f t="shared" si="2"/>
        <v>0</v>
      </c>
      <c r="K27" s="828"/>
      <c r="L27" s="797"/>
      <c r="M27" s="759">
        <f t="shared" si="3"/>
        <v>0</v>
      </c>
      <c r="N27" s="798"/>
      <c r="O27" s="797">
        <v>0</v>
      </c>
      <c r="P27" s="762">
        <v>0</v>
      </c>
      <c r="Q27" s="798"/>
      <c r="R27" s="797">
        <v>0</v>
      </c>
      <c r="S27" s="817">
        <f t="shared" si="5"/>
        <v>0</v>
      </c>
      <c r="T27" s="798"/>
      <c r="U27" s="797">
        <v>0</v>
      </c>
      <c r="V27" s="817">
        <f t="shared" si="6"/>
        <v>0</v>
      </c>
      <c r="W27" s="798"/>
      <c r="X27" s="797">
        <v>0</v>
      </c>
      <c r="Y27" s="817">
        <f t="shared" si="7"/>
        <v>0</v>
      </c>
      <c r="Z27" s="807"/>
      <c r="AA27" s="822">
        <f t="shared" si="8"/>
        <v>0</v>
      </c>
      <c r="AB27" s="822">
        <f t="shared" si="9"/>
        <v>0</v>
      </c>
      <c r="AC27" s="876">
        <f t="shared" si="10"/>
        <v>0</v>
      </c>
    </row>
    <row r="28" spans="1:29" s="698" customFormat="1" ht="110.25">
      <c r="A28" s="868" t="s">
        <v>968</v>
      </c>
      <c r="B28" s="865" t="s">
        <v>73</v>
      </c>
      <c r="C28" s="831">
        <v>200000</v>
      </c>
      <c r="D28" s="814">
        <f t="shared" si="0"/>
        <v>200000</v>
      </c>
      <c r="E28" s="816">
        <v>208038</v>
      </c>
      <c r="F28" s="816">
        <v>0</v>
      </c>
      <c r="G28" s="814">
        <f t="shared" si="1"/>
        <v>0</v>
      </c>
      <c r="H28" s="816">
        <v>0</v>
      </c>
      <c r="I28" s="816">
        <v>200000</v>
      </c>
      <c r="J28" s="814">
        <f t="shared" si="2"/>
        <v>200000</v>
      </c>
      <c r="K28" s="829">
        <v>163580</v>
      </c>
      <c r="L28" s="835"/>
      <c r="M28" s="814">
        <f t="shared" si="3"/>
        <v>0</v>
      </c>
      <c r="N28" s="836"/>
      <c r="O28" s="835">
        <v>50000</v>
      </c>
      <c r="P28" s="816">
        <v>50000</v>
      </c>
      <c r="Q28" s="836"/>
      <c r="R28" s="835">
        <v>0</v>
      </c>
      <c r="S28" s="821">
        <f t="shared" si="5"/>
        <v>0</v>
      </c>
      <c r="T28" s="836"/>
      <c r="U28" s="835">
        <v>0</v>
      </c>
      <c r="V28" s="821">
        <f t="shared" si="6"/>
        <v>0</v>
      </c>
      <c r="W28" s="836">
        <v>0</v>
      </c>
      <c r="X28" s="835">
        <v>0</v>
      </c>
      <c r="Y28" s="821">
        <f t="shared" si="7"/>
        <v>0</v>
      </c>
      <c r="Z28" s="842"/>
      <c r="AA28" s="822">
        <f t="shared" si="8"/>
        <v>450000</v>
      </c>
      <c r="AB28" s="822">
        <f t="shared" si="9"/>
        <v>450000</v>
      </c>
      <c r="AC28" s="876">
        <f t="shared" si="10"/>
        <v>371618</v>
      </c>
    </row>
    <row r="29" spans="1:29">
      <c r="A29" s="864" t="s">
        <v>74</v>
      </c>
      <c r="B29" s="865" t="s">
        <v>75</v>
      </c>
      <c r="C29" s="786"/>
      <c r="D29" s="759">
        <f t="shared" si="0"/>
        <v>0</v>
      </c>
      <c r="E29" s="762">
        <v>0</v>
      </c>
      <c r="F29" s="762">
        <v>0</v>
      </c>
      <c r="G29" s="759">
        <f t="shared" si="1"/>
        <v>0</v>
      </c>
      <c r="H29" s="762"/>
      <c r="I29" s="762">
        <v>0</v>
      </c>
      <c r="J29" s="759">
        <f t="shared" si="2"/>
        <v>0</v>
      </c>
      <c r="K29" s="828"/>
      <c r="L29" s="797"/>
      <c r="M29" s="759">
        <f t="shared" si="3"/>
        <v>0</v>
      </c>
      <c r="N29" s="798"/>
      <c r="O29" s="797">
        <v>0</v>
      </c>
      <c r="P29" s="762">
        <v>0</v>
      </c>
      <c r="Q29" s="798"/>
      <c r="R29" s="797">
        <v>0</v>
      </c>
      <c r="S29" s="817">
        <f t="shared" si="5"/>
        <v>0</v>
      </c>
      <c r="T29" s="798"/>
      <c r="U29" s="797">
        <v>0</v>
      </c>
      <c r="V29" s="817">
        <f t="shared" si="6"/>
        <v>0</v>
      </c>
      <c r="W29" s="798"/>
      <c r="X29" s="797">
        <v>0</v>
      </c>
      <c r="Y29" s="817">
        <f t="shared" si="7"/>
        <v>0</v>
      </c>
      <c r="Z29" s="807"/>
      <c r="AA29" s="822">
        <f t="shared" si="8"/>
        <v>0</v>
      </c>
      <c r="AB29" s="822">
        <f t="shared" si="9"/>
        <v>0</v>
      </c>
      <c r="AC29" s="876">
        <f t="shared" si="10"/>
        <v>0</v>
      </c>
    </row>
    <row r="30" spans="1:29" ht="31.5">
      <c r="A30" s="864" t="s">
        <v>287</v>
      </c>
      <c r="B30" s="865" t="s">
        <v>77</v>
      </c>
      <c r="C30" s="784">
        <f t="shared" ref="C30:P30" si="21">SUM(C31:C33)</f>
        <v>0</v>
      </c>
      <c r="D30" s="759">
        <f t="shared" si="0"/>
        <v>0</v>
      </c>
      <c r="E30" s="760">
        <v>0</v>
      </c>
      <c r="F30" s="760">
        <f t="shared" si="21"/>
        <v>0</v>
      </c>
      <c r="G30" s="759">
        <f t="shared" si="1"/>
        <v>0</v>
      </c>
      <c r="H30" s="760">
        <v>0</v>
      </c>
      <c r="I30" s="760">
        <f t="shared" si="21"/>
        <v>0</v>
      </c>
      <c r="J30" s="759">
        <f t="shared" si="2"/>
        <v>0</v>
      </c>
      <c r="K30" s="826"/>
      <c r="L30" s="793">
        <f t="shared" si="21"/>
        <v>0</v>
      </c>
      <c r="M30" s="759">
        <f t="shared" si="3"/>
        <v>0</v>
      </c>
      <c r="N30" s="794"/>
      <c r="O30" s="793">
        <f t="shared" si="21"/>
        <v>0</v>
      </c>
      <c r="P30" s="760">
        <f t="shared" si="21"/>
        <v>0</v>
      </c>
      <c r="Q30" s="794"/>
      <c r="R30" s="793">
        <f t="shared" ref="R30" si="22">SUM(R31:R33)</f>
        <v>0</v>
      </c>
      <c r="S30" s="817">
        <f t="shared" si="5"/>
        <v>0</v>
      </c>
      <c r="T30" s="794"/>
      <c r="U30" s="793">
        <f t="shared" ref="U30" si="23">SUM(U31:U33)</f>
        <v>0</v>
      </c>
      <c r="V30" s="817">
        <f t="shared" si="6"/>
        <v>0</v>
      </c>
      <c r="W30" s="794"/>
      <c r="X30" s="793">
        <f t="shared" ref="X30" si="24">SUM(X31:X33)</f>
        <v>0</v>
      </c>
      <c r="Y30" s="817">
        <f t="shared" si="7"/>
        <v>0</v>
      </c>
      <c r="Z30" s="805"/>
      <c r="AA30" s="822">
        <f t="shared" si="8"/>
        <v>0</v>
      </c>
      <c r="AB30" s="822">
        <f t="shared" si="9"/>
        <v>0</v>
      </c>
      <c r="AC30" s="876">
        <f t="shared" si="10"/>
        <v>0</v>
      </c>
    </row>
    <row r="31" spans="1:29" hidden="1">
      <c r="A31" s="866" t="s">
        <v>78</v>
      </c>
      <c r="B31" s="867"/>
      <c r="C31" s="785"/>
      <c r="D31" s="759">
        <f t="shared" si="0"/>
        <v>0</v>
      </c>
      <c r="E31" s="761"/>
      <c r="F31" s="761"/>
      <c r="G31" s="759">
        <f t="shared" si="1"/>
        <v>0</v>
      </c>
      <c r="H31" s="761"/>
      <c r="I31" s="761"/>
      <c r="J31" s="759">
        <f t="shared" si="2"/>
        <v>0</v>
      </c>
      <c r="K31" s="827"/>
      <c r="L31" s="795"/>
      <c r="M31" s="759">
        <f t="shared" si="3"/>
        <v>0</v>
      </c>
      <c r="N31" s="796"/>
      <c r="O31" s="795"/>
      <c r="P31" s="763">
        <f t="shared" si="4"/>
        <v>0</v>
      </c>
      <c r="Q31" s="796"/>
      <c r="R31" s="795"/>
      <c r="S31" s="763">
        <f t="shared" si="5"/>
        <v>0</v>
      </c>
      <c r="T31" s="796"/>
      <c r="U31" s="795"/>
      <c r="V31" s="763">
        <f t="shared" si="6"/>
        <v>0</v>
      </c>
      <c r="W31" s="796"/>
      <c r="X31" s="795"/>
      <c r="Y31" s="763">
        <f t="shared" si="7"/>
        <v>0</v>
      </c>
      <c r="Z31" s="806"/>
      <c r="AA31" s="822">
        <f t="shared" si="8"/>
        <v>0</v>
      </c>
      <c r="AB31" s="822">
        <f t="shared" si="9"/>
        <v>0</v>
      </c>
      <c r="AC31" s="876">
        <f t="shared" si="10"/>
        <v>0</v>
      </c>
    </row>
    <row r="32" spans="1:29" hidden="1">
      <c r="A32" s="866" t="s">
        <v>79</v>
      </c>
      <c r="B32" s="867"/>
      <c r="C32" s="785"/>
      <c r="D32" s="759">
        <f t="shared" si="0"/>
        <v>0</v>
      </c>
      <c r="E32" s="761"/>
      <c r="F32" s="761"/>
      <c r="G32" s="759">
        <f t="shared" si="1"/>
        <v>0</v>
      </c>
      <c r="H32" s="761"/>
      <c r="I32" s="761"/>
      <c r="J32" s="759">
        <f t="shared" si="2"/>
        <v>0</v>
      </c>
      <c r="K32" s="827"/>
      <c r="L32" s="795"/>
      <c r="M32" s="759">
        <f t="shared" si="3"/>
        <v>0</v>
      </c>
      <c r="N32" s="796"/>
      <c r="O32" s="795"/>
      <c r="P32" s="763">
        <f t="shared" si="4"/>
        <v>0</v>
      </c>
      <c r="Q32" s="796"/>
      <c r="R32" s="795"/>
      <c r="S32" s="763">
        <f t="shared" si="5"/>
        <v>0</v>
      </c>
      <c r="T32" s="796"/>
      <c r="U32" s="795"/>
      <c r="V32" s="763">
        <f t="shared" si="6"/>
        <v>0</v>
      </c>
      <c r="W32" s="796"/>
      <c r="X32" s="795"/>
      <c r="Y32" s="763">
        <f t="shared" si="7"/>
        <v>0</v>
      </c>
      <c r="Z32" s="806"/>
      <c r="AA32" s="822">
        <f t="shared" si="8"/>
        <v>0</v>
      </c>
      <c r="AB32" s="822">
        <f t="shared" si="9"/>
        <v>0</v>
      </c>
      <c r="AC32" s="876">
        <f t="shared" si="10"/>
        <v>0</v>
      </c>
    </row>
    <row r="33" spans="1:29" hidden="1">
      <c r="A33" s="866" t="s">
        <v>288</v>
      </c>
      <c r="B33" s="867"/>
      <c r="C33" s="785"/>
      <c r="D33" s="759">
        <f t="shared" si="0"/>
        <v>0</v>
      </c>
      <c r="E33" s="761"/>
      <c r="F33" s="761"/>
      <c r="G33" s="759">
        <f t="shared" si="1"/>
        <v>0</v>
      </c>
      <c r="H33" s="761"/>
      <c r="I33" s="761"/>
      <c r="J33" s="759">
        <f t="shared" si="2"/>
        <v>0</v>
      </c>
      <c r="K33" s="827"/>
      <c r="L33" s="795"/>
      <c r="M33" s="759">
        <f t="shared" si="3"/>
        <v>0</v>
      </c>
      <c r="N33" s="796"/>
      <c r="O33" s="795"/>
      <c r="P33" s="763">
        <f t="shared" si="4"/>
        <v>0</v>
      </c>
      <c r="Q33" s="796"/>
      <c r="R33" s="795"/>
      <c r="S33" s="763">
        <f t="shared" si="5"/>
        <v>0</v>
      </c>
      <c r="T33" s="796"/>
      <c r="U33" s="795"/>
      <c r="V33" s="763">
        <f t="shared" si="6"/>
        <v>0</v>
      </c>
      <c r="W33" s="796"/>
      <c r="X33" s="795"/>
      <c r="Y33" s="763">
        <f t="shared" si="7"/>
        <v>0</v>
      </c>
      <c r="Z33" s="806"/>
      <c r="AA33" s="822">
        <f t="shared" si="8"/>
        <v>0</v>
      </c>
      <c r="AB33" s="822">
        <f t="shared" si="9"/>
        <v>0</v>
      </c>
      <c r="AC33" s="876">
        <f t="shared" si="10"/>
        <v>0</v>
      </c>
    </row>
    <row r="34" spans="1:29">
      <c r="A34" s="864" t="s">
        <v>289</v>
      </c>
      <c r="B34" s="865" t="s">
        <v>81</v>
      </c>
      <c r="C34" s="784">
        <v>2000000</v>
      </c>
      <c r="D34" s="759">
        <f t="shared" si="0"/>
        <v>2000000</v>
      </c>
      <c r="E34" s="760">
        <v>328329</v>
      </c>
      <c r="F34" s="760">
        <v>3000000</v>
      </c>
      <c r="G34" s="759">
        <f t="shared" si="1"/>
        <v>3000000</v>
      </c>
      <c r="H34" s="760">
        <v>120000</v>
      </c>
      <c r="I34" s="760">
        <f t="shared" ref="I34" si="25">SUM(I35:I44)</f>
        <v>0</v>
      </c>
      <c r="J34" s="759">
        <f t="shared" si="2"/>
        <v>0</v>
      </c>
      <c r="K34" s="826"/>
      <c r="L34" s="793">
        <v>100000</v>
      </c>
      <c r="M34" s="759">
        <f>SUM(L34)</f>
        <v>100000</v>
      </c>
      <c r="N34" s="794"/>
      <c r="O34" s="793">
        <v>0</v>
      </c>
      <c r="P34" s="760">
        <v>0</v>
      </c>
      <c r="Q34" s="794"/>
      <c r="R34" s="793">
        <v>40000</v>
      </c>
      <c r="S34" s="817">
        <f t="shared" si="5"/>
        <v>40000</v>
      </c>
      <c r="T34" s="794"/>
      <c r="U34" s="793">
        <v>10000</v>
      </c>
      <c r="V34" s="817">
        <f t="shared" si="6"/>
        <v>10000</v>
      </c>
      <c r="W34" s="794">
        <v>4724</v>
      </c>
      <c r="X34" s="793">
        <v>1000000</v>
      </c>
      <c r="Y34" s="817">
        <f t="shared" si="7"/>
        <v>1000000</v>
      </c>
      <c r="Z34" s="805">
        <f>150000+209843</f>
        <v>359843</v>
      </c>
      <c r="AA34" s="822">
        <f t="shared" si="8"/>
        <v>6150000</v>
      </c>
      <c r="AB34" s="822">
        <f t="shared" si="9"/>
        <v>6150000</v>
      </c>
      <c r="AC34" s="876">
        <f t="shared" si="10"/>
        <v>812896</v>
      </c>
    </row>
    <row r="35" spans="1:29" hidden="1">
      <c r="A35" s="866" t="s">
        <v>290</v>
      </c>
      <c r="B35" s="869"/>
      <c r="C35" s="785"/>
      <c r="D35" s="759">
        <f t="shared" si="0"/>
        <v>0</v>
      </c>
      <c r="E35" s="761"/>
      <c r="F35" s="761"/>
      <c r="G35" s="759">
        <f t="shared" si="1"/>
        <v>0</v>
      </c>
      <c r="H35" s="761"/>
      <c r="I35" s="761"/>
      <c r="J35" s="759">
        <f t="shared" si="2"/>
        <v>0</v>
      </c>
      <c r="K35" s="827"/>
      <c r="L35" s="795"/>
      <c r="M35" s="759">
        <f t="shared" si="3"/>
        <v>0</v>
      </c>
      <c r="N35" s="796"/>
      <c r="O35" s="795"/>
      <c r="P35" s="763">
        <f t="shared" si="4"/>
        <v>0</v>
      </c>
      <c r="Q35" s="796"/>
      <c r="R35" s="795"/>
      <c r="S35" s="763">
        <f t="shared" si="5"/>
        <v>0</v>
      </c>
      <c r="T35" s="796"/>
      <c r="U35" s="795"/>
      <c r="V35" s="763">
        <f t="shared" si="6"/>
        <v>0</v>
      </c>
      <c r="W35" s="796"/>
      <c r="X35" s="795"/>
      <c r="Y35" s="763">
        <f t="shared" si="7"/>
        <v>0</v>
      </c>
      <c r="Z35" s="806"/>
      <c r="AA35" s="822">
        <f t="shared" si="8"/>
        <v>0</v>
      </c>
      <c r="AB35" s="822">
        <f t="shared" si="9"/>
        <v>0</v>
      </c>
      <c r="AC35" s="876">
        <f t="shared" si="10"/>
        <v>0</v>
      </c>
    </row>
    <row r="36" spans="1:29" hidden="1">
      <c r="A36" s="866" t="s">
        <v>291</v>
      </c>
      <c r="B36" s="869"/>
      <c r="C36" s="785"/>
      <c r="D36" s="759">
        <f t="shared" si="0"/>
        <v>0</v>
      </c>
      <c r="E36" s="761"/>
      <c r="F36" s="761"/>
      <c r="G36" s="759">
        <f t="shared" si="1"/>
        <v>0</v>
      </c>
      <c r="H36" s="761"/>
      <c r="I36" s="761"/>
      <c r="J36" s="759">
        <f t="shared" si="2"/>
        <v>0</v>
      </c>
      <c r="K36" s="827"/>
      <c r="L36" s="795"/>
      <c r="M36" s="759">
        <f t="shared" si="3"/>
        <v>0</v>
      </c>
      <c r="N36" s="796"/>
      <c r="O36" s="795"/>
      <c r="P36" s="763">
        <f t="shared" si="4"/>
        <v>0</v>
      </c>
      <c r="Q36" s="796"/>
      <c r="R36" s="795"/>
      <c r="S36" s="763">
        <f t="shared" si="5"/>
        <v>0</v>
      </c>
      <c r="T36" s="796"/>
      <c r="U36" s="795"/>
      <c r="V36" s="763">
        <f t="shared" si="6"/>
        <v>0</v>
      </c>
      <c r="W36" s="796"/>
      <c r="X36" s="795"/>
      <c r="Y36" s="763">
        <f t="shared" si="7"/>
        <v>0</v>
      </c>
      <c r="Z36" s="806"/>
      <c r="AA36" s="822">
        <f t="shared" si="8"/>
        <v>0</v>
      </c>
      <c r="AB36" s="822">
        <f t="shared" si="9"/>
        <v>0</v>
      </c>
      <c r="AC36" s="876">
        <f t="shared" si="10"/>
        <v>0</v>
      </c>
    </row>
    <row r="37" spans="1:29" hidden="1">
      <c r="A37" s="866" t="s">
        <v>292</v>
      </c>
      <c r="B37" s="869"/>
      <c r="C37" s="785"/>
      <c r="D37" s="759">
        <f t="shared" si="0"/>
        <v>0</v>
      </c>
      <c r="E37" s="761"/>
      <c r="F37" s="761"/>
      <c r="G37" s="759">
        <f t="shared" si="1"/>
        <v>0</v>
      </c>
      <c r="H37" s="761"/>
      <c r="I37" s="761"/>
      <c r="J37" s="759">
        <f t="shared" si="2"/>
        <v>0</v>
      </c>
      <c r="K37" s="827"/>
      <c r="L37" s="795"/>
      <c r="M37" s="759">
        <f t="shared" si="3"/>
        <v>0</v>
      </c>
      <c r="N37" s="796"/>
      <c r="O37" s="795"/>
      <c r="P37" s="763">
        <f t="shared" si="4"/>
        <v>0</v>
      </c>
      <c r="Q37" s="796"/>
      <c r="R37" s="795"/>
      <c r="S37" s="763">
        <f t="shared" si="5"/>
        <v>0</v>
      </c>
      <c r="T37" s="796"/>
      <c r="U37" s="795"/>
      <c r="V37" s="763">
        <f t="shared" si="6"/>
        <v>0</v>
      </c>
      <c r="W37" s="796"/>
      <c r="X37" s="795"/>
      <c r="Y37" s="763">
        <f t="shared" si="7"/>
        <v>0</v>
      </c>
      <c r="Z37" s="806"/>
      <c r="AA37" s="822">
        <f t="shared" si="8"/>
        <v>0</v>
      </c>
      <c r="AB37" s="822">
        <f t="shared" si="9"/>
        <v>0</v>
      </c>
      <c r="AC37" s="876">
        <f t="shared" si="10"/>
        <v>0</v>
      </c>
    </row>
    <row r="38" spans="1:29" hidden="1">
      <c r="A38" s="866" t="s">
        <v>293</v>
      </c>
      <c r="B38" s="869"/>
      <c r="C38" s="785"/>
      <c r="D38" s="759">
        <f t="shared" si="0"/>
        <v>0</v>
      </c>
      <c r="E38" s="761"/>
      <c r="F38" s="761"/>
      <c r="G38" s="759">
        <f t="shared" si="1"/>
        <v>0</v>
      </c>
      <c r="H38" s="761"/>
      <c r="I38" s="761"/>
      <c r="J38" s="759">
        <f t="shared" si="2"/>
        <v>0</v>
      </c>
      <c r="K38" s="827"/>
      <c r="L38" s="795"/>
      <c r="M38" s="759">
        <f t="shared" si="3"/>
        <v>0</v>
      </c>
      <c r="N38" s="796"/>
      <c r="O38" s="795"/>
      <c r="P38" s="763">
        <f t="shared" si="4"/>
        <v>0</v>
      </c>
      <c r="Q38" s="796"/>
      <c r="R38" s="795"/>
      <c r="S38" s="763">
        <f t="shared" si="5"/>
        <v>0</v>
      </c>
      <c r="T38" s="796"/>
      <c r="U38" s="795"/>
      <c r="V38" s="763">
        <f t="shared" si="6"/>
        <v>0</v>
      </c>
      <c r="W38" s="796"/>
      <c r="X38" s="795"/>
      <c r="Y38" s="763">
        <f t="shared" si="7"/>
        <v>0</v>
      </c>
      <c r="Z38" s="806"/>
      <c r="AA38" s="822">
        <f t="shared" si="8"/>
        <v>0</v>
      </c>
      <c r="AB38" s="822">
        <f t="shared" si="9"/>
        <v>0</v>
      </c>
      <c r="AC38" s="876">
        <f t="shared" si="10"/>
        <v>0</v>
      </c>
    </row>
    <row r="39" spans="1:29" hidden="1">
      <c r="A39" s="866" t="s">
        <v>294</v>
      </c>
      <c r="B39" s="869"/>
      <c r="C39" s="785"/>
      <c r="D39" s="759">
        <f t="shared" si="0"/>
        <v>0</v>
      </c>
      <c r="E39" s="761"/>
      <c r="F39" s="761"/>
      <c r="G39" s="759">
        <f t="shared" si="1"/>
        <v>0</v>
      </c>
      <c r="H39" s="761"/>
      <c r="I39" s="761"/>
      <c r="J39" s="759">
        <f t="shared" si="2"/>
        <v>0</v>
      </c>
      <c r="K39" s="827"/>
      <c r="L39" s="795"/>
      <c r="M39" s="759">
        <f t="shared" si="3"/>
        <v>0</v>
      </c>
      <c r="N39" s="796"/>
      <c r="O39" s="795"/>
      <c r="P39" s="763">
        <f t="shared" si="4"/>
        <v>0</v>
      </c>
      <c r="Q39" s="796"/>
      <c r="R39" s="795"/>
      <c r="S39" s="763">
        <f t="shared" si="5"/>
        <v>0</v>
      </c>
      <c r="T39" s="796"/>
      <c r="U39" s="795"/>
      <c r="V39" s="763">
        <f t="shared" si="6"/>
        <v>0</v>
      </c>
      <c r="W39" s="796"/>
      <c r="X39" s="795"/>
      <c r="Y39" s="763">
        <f t="shared" si="7"/>
        <v>0</v>
      </c>
      <c r="Z39" s="806"/>
      <c r="AA39" s="822">
        <f t="shared" si="8"/>
        <v>0</v>
      </c>
      <c r="AB39" s="822">
        <f t="shared" si="9"/>
        <v>0</v>
      </c>
      <c r="AC39" s="876">
        <f t="shared" si="10"/>
        <v>0</v>
      </c>
    </row>
    <row r="40" spans="1:29" ht="31.5" hidden="1">
      <c r="A40" s="866" t="s">
        <v>295</v>
      </c>
      <c r="B40" s="869"/>
      <c r="C40" s="785">
        <v>1800000</v>
      </c>
      <c r="D40" s="759">
        <f t="shared" si="0"/>
        <v>1800000</v>
      </c>
      <c r="E40" s="761"/>
      <c r="F40" s="761"/>
      <c r="G40" s="759">
        <f t="shared" si="1"/>
        <v>0</v>
      </c>
      <c r="H40" s="761"/>
      <c r="I40" s="761"/>
      <c r="J40" s="759">
        <f t="shared" si="2"/>
        <v>0</v>
      </c>
      <c r="K40" s="827"/>
      <c r="L40" s="795">
        <v>20000</v>
      </c>
      <c r="M40" s="759">
        <f t="shared" si="3"/>
        <v>20000</v>
      </c>
      <c r="N40" s="796"/>
      <c r="O40" s="795">
        <v>50000</v>
      </c>
      <c r="P40" s="763">
        <f t="shared" si="4"/>
        <v>50000</v>
      </c>
      <c r="Q40" s="796"/>
      <c r="R40" s="795">
        <v>50000</v>
      </c>
      <c r="S40" s="763">
        <f t="shared" si="5"/>
        <v>50000</v>
      </c>
      <c r="T40" s="796"/>
      <c r="U40" s="795">
        <v>50000</v>
      </c>
      <c r="V40" s="763">
        <f t="shared" si="6"/>
        <v>50000</v>
      </c>
      <c r="W40" s="796"/>
      <c r="X40" s="795">
        <v>50000</v>
      </c>
      <c r="Y40" s="763">
        <f t="shared" si="7"/>
        <v>50000</v>
      </c>
      <c r="Z40" s="806"/>
      <c r="AA40" s="822">
        <f t="shared" si="8"/>
        <v>2020000</v>
      </c>
      <c r="AB40" s="822">
        <f t="shared" si="9"/>
        <v>2020000</v>
      </c>
      <c r="AC40" s="876">
        <f t="shared" si="10"/>
        <v>0</v>
      </c>
    </row>
    <row r="41" spans="1:29" ht="31.5" hidden="1">
      <c r="A41" s="866" t="s">
        <v>535</v>
      </c>
      <c r="B41" s="869"/>
      <c r="C41" s="785">
        <v>200000</v>
      </c>
      <c r="D41" s="759">
        <f t="shared" si="0"/>
        <v>200000</v>
      </c>
      <c r="E41" s="761"/>
      <c r="F41" s="761"/>
      <c r="G41" s="759">
        <f t="shared" si="1"/>
        <v>0</v>
      </c>
      <c r="H41" s="761"/>
      <c r="I41" s="761"/>
      <c r="J41" s="759">
        <f t="shared" si="2"/>
        <v>0</v>
      </c>
      <c r="K41" s="827"/>
      <c r="L41" s="795"/>
      <c r="M41" s="759">
        <f t="shared" si="3"/>
        <v>0</v>
      </c>
      <c r="N41" s="796"/>
      <c r="O41" s="795"/>
      <c r="P41" s="763">
        <f t="shared" si="4"/>
        <v>0</v>
      </c>
      <c r="Q41" s="796"/>
      <c r="R41" s="795"/>
      <c r="S41" s="763">
        <f t="shared" si="5"/>
        <v>0</v>
      </c>
      <c r="T41" s="796"/>
      <c r="U41" s="795"/>
      <c r="V41" s="763">
        <f t="shared" si="6"/>
        <v>0</v>
      </c>
      <c r="W41" s="796"/>
      <c r="X41" s="795"/>
      <c r="Y41" s="763">
        <f t="shared" si="7"/>
        <v>0</v>
      </c>
      <c r="Z41" s="806"/>
      <c r="AA41" s="822">
        <f t="shared" si="8"/>
        <v>200000</v>
      </c>
      <c r="AB41" s="822">
        <f t="shared" si="9"/>
        <v>200000</v>
      </c>
      <c r="AC41" s="876">
        <f t="shared" si="10"/>
        <v>0</v>
      </c>
    </row>
    <row r="42" spans="1:29" hidden="1">
      <c r="A42" s="870" t="s">
        <v>513</v>
      </c>
      <c r="B42" s="869"/>
      <c r="C42" s="785">
        <v>250000</v>
      </c>
      <c r="D42" s="759">
        <f t="shared" si="0"/>
        <v>250000</v>
      </c>
      <c r="E42" s="761"/>
      <c r="F42" s="761"/>
      <c r="G42" s="759">
        <f t="shared" si="1"/>
        <v>0</v>
      </c>
      <c r="H42" s="761"/>
      <c r="I42" s="761"/>
      <c r="J42" s="759">
        <f t="shared" si="2"/>
        <v>0</v>
      </c>
      <c r="K42" s="827"/>
      <c r="L42" s="795"/>
      <c r="M42" s="759">
        <f t="shared" si="3"/>
        <v>0</v>
      </c>
      <c r="N42" s="796"/>
      <c r="O42" s="795"/>
      <c r="P42" s="763">
        <f t="shared" si="4"/>
        <v>0</v>
      </c>
      <c r="Q42" s="796"/>
      <c r="R42" s="795"/>
      <c r="S42" s="763">
        <f t="shared" si="5"/>
        <v>0</v>
      </c>
      <c r="T42" s="796"/>
      <c r="U42" s="795"/>
      <c r="V42" s="763">
        <f t="shared" si="6"/>
        <v>0</v>
      </c>
      <c r="W42" s="796"/>
      <c r="X42" s="795"/>
      <c r="Y42" s="763">
        <f t="shared" si="7"/>
        <v>0</v>
      </c>
      <c r="Z42" s="806"/>
      <c r="AA42" s="822">
        <f t="shared" si="8"/>
        <v>250000</v>
      </c>
      <c r="AB42" s="822">
        <f t="shared" si="9"/>
        <v>250000</v>
      </c>
      <c r="AC42" s="876">
        <f t="shared" si="10"/>
        <v>0</v>
      </c>
    </row>
    <row r="43" spans="1:29" hidden="1">
      <c r="A43" s="870" t="s">
        <v>514</v>
      </c>
      <c r="B43" s="869"/>
      <c r="C43" s="785">
        <v>300000</v>
      </c>
      <c r="D43" s="759">
        <f t="shared" si="0"/>
        <v>300000</v>
      </c>
      <c r="E43" s="761"/>
      <c r="F43" s="761"/>
      <c r="G43" s="759">
        <f t="shared" si="1"/>
        <v>0</v>
      </c>
      <c r="H43" s="761"/>
      <c r="I43" s="761"/>
      <c r="J43" s="759">
        <f t="shared" si="2"/>
        <v>0</v>
      </c>
      <c r="K43" s="827"/>
      <c r="L43" s="795"/>
      <c r="M43" s="759">
        <f t="shared" si="3"/>
        <v>0</v>
      </c>
      <c r="N43" s="796"/>
      <c r="O43" s="795"/>
      <c r="P43" s="763">
        <f t="shared" si="4"/>
        <v>0</v>
      </c>
      <c r="Q43" s="796"/>
      <c r="R43" s="795"/>
      <c r="S43" s="763">
        <f t="shared" si="5"/>
        <v>0</v>
      </c>
      <c r="T43" s="796"/>
      <c r="U43" s="795"/>
      <c r="V43" s="763">
        <f t="shared" si="6"/>
        <v>0</v>
      </c>
      <c r="W43" s="796"/>
      <c r="X43" s="795"/>
      <c r="Y43" s="763">
        <f t="shared" si="7"/>
        <v>0</v>
      </c>
      <c r="Z43" s="806"/>
      <c r="AA43" s="822">
        <f t="shared" si="8"/>
        <v>300000</v>
      </c>
      <c r="AB43" s="822">
        <f t="shared" si="9"/>
        <v>300000</v>
      </c>
      <c r="AC43" s="876">
        <f t="shared" si="10"/>
        <v>0</v>
      </c>
    </row>
    <row r="44" spans="1:29" hidden="1">
      <c r="A44" s="870" t="s">
        <v>515</v>
      </c>
      <c r="B44" s="869"/>
      <c r="C44" s="785"/>
      <c r="D44" s="759">
        <f t="shared" si="0"/>
        <v>0</v>
      </c>
      <c r="E44" s="761"/>
      <c r="F44" s="761">
        <v>300000</v>
      </c>
      <c r="G44" s="759">
        <f t="shared" si="1"/>
        <v>300000</v>
      </c>
      <c r="H44" s="761">
        <v>300002</v>
      </c>
      <c r="I44" s="761"/>
      <c r="J44" s="759">
        <f t="shared" si="2"/>
        <v>0</v>
      </c>
      <c r="K44" s="827"/>
      <c r="L44" s="795"/>
      <c r="M44" s="759">
        <f t="shared" si="3"/>
        <v>0</v>
      </c>
      <c r="N44" s="796"/>
      <c r="O44" s="795"/>
      <c r="P44" s="763">
        <f t="shared" si="4"/>
        <v>0</v>
      </c>
      <c r="Q44" s="796"/>
      <c r="R44" s="795"/>
      <c r="S44" s="763">
        <f t="shared" si="5"/>
        <v>0</v>
      </c>
      <c r="T44" s="796"/>
      <c r="U44" s="795"/>
      <c r="V44" s="763">
        <f t="shared" si="6"/>
        <v>0</v>
      </c>
      <c r="W44" s="796"/>
      <c r="X44" s="795"/>
      <c r="Y44" s="763">
        <f t="shared" si="7"/>
        <v>0</v>
      </c>
      <c r="Z44" s="806"/>
      <c r="AA44" s="822">
        <f t="shared" si="8"/>
        <v>300000</v>
      </c>
      <c r="AB44" s="822">
        <f t="shared" si="9"/>
        <v>300000</v>
      </c>
      <c r="AC44" s="876">
        <f t="shared" si="10"/>
        <v>300002</v>
      </c>
    </row>
    <row r="45" spans="1:29">
      <c r="A45" s="864" t="s">
        <v>87</v>
      </c>
      <c r="B45" s="865" t="s">
        <v>88</v>
      </c>
      <c r="C45" s="784">
        <f>SUM(C22,C26:C30,C34)</f>
        <v>3700000</v>
      </c>
      <c r="D45" s="759">
        <f t="shared" si="0"/>
        <v>3700000</v>
      </c>
      <c r="E45" s="760">
        <f>SUM(E22,E26:E30,E34)</f>
        <v>1158616</v>
      </c>
      <c r="F45" s="760">
        <f t="shared" ref="F45:W45" si="26">SUM(F22,F26:F30,F34)</f>
        <v>3000000</v>
      </c>
      <c r="G45" s="759">
        <f t="shared" si="1"/>
        <v>3000000</v>
      </c>
      <c r="H45" s="760">
        <f>SUM(H22,H26:H30,H34)</f>
        <v>120000</v>
      </c>
      <c r="I45" s="760">
        <f t="shared" si="26"/>
        <v>3000000</v>
      </c>
      <c r="J45" s="760">
        <f t="shared" si="26"/>
        <v>3000000</v>
      </c>
      <c r="K45" s="826">
        <f t="shared" si="26"/>
        <v>1048014</v>
      </c>
      <c r="L45" s="793">
        <f t="shared" si="26"/>
        <v>150000</v>
      </c>
      <c r="M45" s="759">
        <f t="shared" si="3"/>
        <v>150000</v>
      </c>
      <c r="N45" s="794">
        <f t="shared" si="26"/>
        <v>864</v>
      </c>
      <c r="O45" s="793">
        <f>SUM(O22,O26:O30,O34)</f>
        <v>50000</v>
      </c>
      <c r="P45" s="760">
        <f>SUM(P22,P26:P30,P34)</f>
        <v>50000</v>
      </c>
      <c r="Q45" s="794">
        <f t="shared" si="26"/>
        <v>0</v>
      </c>
      <c r="R45" s="793">
        <f>SUM(R22,R26:R30,R34)</f>
        <v>40000</v>
      </c>
      <c r="S45" s="760">
        <f>SUM(S22,S26:S30,S34)</f>
        <v>40000</v>
      </c>
      <c r="T45" s="794">
        <f t="shared" si="26"/>
        <v>0</v>
      </c>
      <c r="U45" s="793">
        <f t="shared" si="26"/>
        <v>310000</v>
      </c>
      <c r="V45" s="760">
        <f t="shared" si="26"/>
        <v>310000</v>
      </c>
      <c r="W45" s="794">
        <f t="shared" si="26"/>
        <v>102134</v>
      </c>
      <c r="X45" s="793">
        <f t="shared" ref="X45:Z45" si="27">SUM(X22,X26:X30,X34)</f>
        <v>1000000</v>
      </c>
      <c r="Y45" s="760">
        <f t="shared" si="27"/>
        <v>1000000</v>
      </c>
      <c r="Z45" s="805">
        <f t="shared" si="27"/>
        <v>359843</v>
      </c>
      <c r="AA45" s="822">
        <f t="shared" si="8"/>
        <v>11250000</v>
      </c>
      <c r="AB45" s="822">
        <f t="shared" si="9"/>
        <v>11250000</v>
      </c>
      <c r="AC45" s="876">
        <f t="shared" si="10"/>
        <v>2789471</v>
      </c>
    </row>
    <row r="46" spans="1:29" hidden="1">
      <c r="A46" s="871" t="s">
        <v>296</v>
      </c>
      <c r="B46" s="867" t="s">
        <v>90</v>
      </c>
      <c r="C46" s="785"/>
      <c r="D46" s="759">
        <f t="shared" si="0"/>
        <v>0</v>
      </c>
      <c r="E46" s="761"/>
      <c r="F46" s="761"/>
      <c r="G46" s="759">
        <f t="shared" si="1"/>
        <v>0</v>
      </c>
      <c r="H46" s="761"/>
      <c r="I46" s="761"/>
      <c r="J46" s="759">
        <f t="shared" si="2"/>
        <v>0</v>
      </c>
      <c r="K46" s="827"/>
      <c r="L46" s="795"/>
      <c r="M46" s="759">
        <f t="shared" si="3"/>
        <v>0</v>
      </c>
      <c r="N46" s="796"/>
      <c r="O46" s="795"/>
      <c r="P46" s="763">
        <f t="shared" si="4"/>
        <v>0</v>
      </c>
      <c r="Q46" s="796">
        <v>43840</v>
      </c>
      <c r="R46" s="795"/>
      <c r="S46" s="763">
        <f t="shared" si="5"/>
        <v>0</v>
      </c>
      <c r="T46" s="796">
        <v>43840</v>
      </c>
      <c r="U46" s="795"/>
      <c r="V46" s="763">
        <f t="shared" si="6"/>
        <v>0</v>
      </c>
      <c r="W46" s="796">
        <v>43840</v>
      </c>
      <c r="X46" s="795"/>
      <c r="Y46" s="763">
        <f t="shared" si="7"/>
        <v>0</v>
      </c>
      <c r="Z46" s="806">
        <v>43840</v>
      </c>
      <c r="AA46" s="822">
        <f t="shared" si="8"/>
        <v>0</v>
      </c>
      <c r="AB46" s="822">
        <f t="shared" si="9"/>
        <v>0</v>
      </c>
      <c r="AC46" s="876">
        <f t="shared" si="10"/>
        <v>175360</v>
      </c>
    </row>
    <row r="47" spans="1:29" ht="31.5" hidden="1">
      <c r="A47" s="871" t="s">
        <v>297</v>
      </c>
      <c r="B47" s="867" t="s">
        <v>92</v>
      </c>
      <c r="C47" s="785"/>
      <c r="D47" s="759">
        <f t="shared" si="0"/>
        <v>0</v>
      </c>
      <c r="E47" s="761"/>
      <c r="F47" s="761"/>
      <c r="G47" s="759">
        <f t="shared" si="1"/>
        <v>0</v>
      </c>
      <c r="H47" s="761"/>
      <c r="I47" s="761"/>
      <c r="J47" s="759">
        <f t="shared" si="2"/>
        <v>0</v>
      </c>
      <c r="K47" s="827"/>
      <c r="L47" s="795"/>
      <c r="M47" s="759">
        <f t="shared" si="3"/>
        <v>0</v>
      </c>
      <c r="N47" s="796"/>
      <c r="O47" s="795"/>
      <c r="P47" s="763">
        <f t="shared" si="4"/>
        <v>0</v>
      </c>
      <c r="Q47" s="796"/>
      <c r="R47" s="795"/>
      <c r="S47" s="763">
        <f t="shared" si="5"/>
        <v>0</v>
      </c>
      <c r="T47" s="796"/>
      <c r="U47" s="795"/>
      <c r="V47" s="763">
        <f t="shared" si="6"/>
        <v>0</v>
      </c>
      <c r="W47" s="796"/>
      <c r="X47" s="795"/>
      <c r="Y47" s="763">
        <f t="shared" si="7"/>
        <v>0</v>
      </c>
      <c r="Z47" s="806"/>
      <c r="AA47" s="822">
        <f t="shared" si="8"/>
        <v>0</v>
      </c>
      <c r="AB47" s="822">
        <f t="shared" si="9"/>
        <v>0</v>
      </c>
      <c r="AC47" s="876">
        <f t="shared" si="10"/>
        <v>0</v>
      </c>
    </row>
    <row r="48" spans="1:29" s="698" customFormat="1" ht="31.5">
      <c r="A48" s="868" t="s">
        <v>93</v>
      </c>
      <c r="B48" s="865" t="s">
        <v>94</v>
      </c>
      <c r="C48" s="784"/>
      <c r="D48" s="814">
        <f t="shared" si="0"/>
        <v>0</v>
      </c>
      <c r="E48" s="760"/>
      <c r="F48" s="760">
        <f>SUM(F46:F47)</f>
        <v>0</v>
      </c>
      <c r="G48" s="814">
        <f t="shared" si="1"/>
        <v>0</v>
      </c>
      <c r="H48" s="760"/>
      <c r="I48" s="760">
        <v>0</v>
      </c>
      <c r="J48" s="814">
        <f t="shared" si="2"/>
        <v>0</v>
      </c>
      <c r="K48" s="826"/>
      <c r="L48" s="793">
        <f>SUM(L46:L47)</f>
        <v>0</v>
      </c>
      <c r="M48" s="814">
        <f t="shared" si="3"/>
        <v>0</v>
      </c>
      <c r="N48" s="794"/>
      <c r="O48" s="793">
        <v>60000</v>
      </c>
      <c r="P48" s="760">
        <v>60000</v>
      </c>
      <c r="Q48" s="794"/>
      <c r="R48" s="793">
        <f>SUM(R46:R47)</f>
        <v>0</v>
      </c>
      <c r="S48" s="821">
        <f t="shared" si="5"/>
        <v>0</v>
      </c>
      <c r="T48" s="794">
        <v>0</v>
      </c>
      <c r="U48" s="793">
        <f>SUM(U46:U47)</f>
        <v>0</v>
      </c>
      <c r="V48" s="760">
        <f>SUM(V46:V47)</f>
        <v>0</v>
      </c>
      <c r="W48" s="794">
        <v>0</v>
      </c>
      <c r="X48" s="793">
        <f>SUM(X46:X47)</f>
        <v>0</v>
      </c>
      <c r="Y48" s="818">
        <f t="shared" si="7"/>
        <v>0</v>
      </c>
      <c r="Z48" s="805">
        <v>0</v>
      </c>
      <c r="AA48" s="822">
        <f t="shared" si="8"/>
        <v>60000</v>
      </c>
      <c r="AB48" s="822">
        <f t="shared" si="9"/>
        <v>60000</v>
      </c>
      <c r="AC48" s="876">
        <f t="shared" si="10"/>
        <v>0</v>
      </c>
    </row>
    <row r="49" spans="1:29" s="698" customFormat="1" ht="47.25">
      <c r="A49" s="868" t="s">
        <v>298</v>
      </c>
      <c r="B49" s="865" t="s">
        <v>96</v>
      </c>
      <c r="C49" s="784">
        <f>SUM(C50:C51)</f>
        <v>1364000</v>
      </c>
      <c r="D49" s="814">
        <f t="shared" si="0"/>
        <v>1364000</v>
      </c>
      <c r="E49" s="760">
        <f>SUM(E50:E51)</f>
        <v>273161</v>
      </c>
      <c r="F49" s="760">
        <f t="shared" ref="F49:R49" si="28">SUM(F50:F51)</f>
        <v>679050</v>
      </c>
      <c r="G49" s="760">
        <f t="shared" si="28"/>
        <v>679050</v>
      </c>
      <c r="H49" s="760">
        <f t="shared" si="28"/>
        <v>21681</v>
      </c>
      <c r="I49" s="760">
        <f t="shared" si="28"/>
        <v>756000</v>
      </c>
      <c r="J49" s="814">
        <f t="shared" si="2"/>
        <v>756000</v>
      </c>
      <c r="K49" s="826">
        <f t="shared" si="28"/>
        <v>304077</v>
      </c>
      <c r="L49" s="793">
        <f t="shared" si="28"/>
        <v>40500</v>
      </c>
      <c r="M49" s="814">
        <f t="shared" si="3"/>
        <v>40500</v>
      </c>
      <c r="N49" s="794">
        <f t="shared" si="28"/>
        <v>232</v>
      </c>
      <c r="O49" s="793">
        <f t="shared" si="28"/>
        <v>40000</v>
      </c>
      <c r="P49" s="760">
        <f t="shared" si="28"/>
        <v>40000</v>
      </c>
      <c r="Q49" s="794">
        <f t="shared" si="28"/>
        <v>12427</v>
      </c>
      <c r="R49" s="793">
        <f t="shared" si="28"/>
        <v>0</v>
      </c>
      <c r="S49" s="821">
        <f t="shared" si="5"/>
        <v>0</v>
      </c>
      <c r="T49" s="794">
        <f t="shared" ref="T49" si="29">SUM(T50:T51)</f>
        <v>0</v>
      </c>
      <c r="U49" s="793">
        <f>SUM(U50:U51)</f>
        <v>81000</v>
      </c>
      <c r="V49" s="760">
        <f>SUM(V50:V51)</f>
        <v>81000</v>
      </c>
      <c r="W49" s="794">
        <f t="shared" ref="W49" si="30">SUM(W50:W51)</f>
        <v>30181</v>
      </c>
      <c r="X49" s="793">
        <f t="shared" ref="X49" si="31">SUM(X50:X51)</f>
        <v>64800</v>
      </c>
      <c r="Y49" s="818">
        <f t="shared" si="7"/>
        <v>64800</v>
      </c>
      <c r="Z49" s="805">
        <f t="shared" ref="Z49" si="32">SUM(Z50:Z51)</f>
        <v>56657</v>
      </c>
      <c r="AA49" s="822">
        <f t="shared" si="8"/>
        <v>3025350</v>
      </c>
      <c r="AB49" s="822">
        <f t="shared" si="9"/>
        <v>3025350</v>
      </c>
      <c r="AC49" s="876">
        <f t="shared" si="10"/>
        <v>698416</v>
      </c>
    </row>
    <row r="50" spans="1:29">
      <c r="A50" s="866" t="s">
        <v>299</v>
      </c>
      <c r="B50" s="867"/>
      <c r="C50" s="785"/>
      <c r="D50" s="759">
        <f t="shared" si="0"/>
        <v>0</v>
      </c>
      <c r="E50" s="761"/>
      <c r="F50" s="761"/>
      <c r="G50" s="759"/>
      <c r="H50" s="761"/>
      <c r="I50" s="761"/>
      <c r="J50" s="759"/>
      <c r="K50" s="827"/>
      <c r="L50" s="795"/>
      <c r="M50" s="759">
        <f t="shared" si="3"/>
        <v>0</v>
      </c>
      <c r="N50" s="796"/>
      <c r="O50" s="795"/>
      <c r="P50" s="763"/>
      <c r="Q50" s="796"/>
      <c r="R50" s="795"/>
      <c r="S50" s="763"/>
      <c r="T50" s="796"/>
      <c r="U50" s="795"/>
      <c r="V50" s="763">
        <f t="shared" si="6"/>
        <v>0</v>
      </c>
      <c r="W50" s="796"/>
      <c r="X50" s="795"/>
      <c r="Y50" s="763">
        <f t="shared" si="7"/>
        <v>0</v>
      </c>
      <c r="Z50" s="806"/>
      <c r="AA50" s="822">
        <f t="shared" si="8"/>
        <v>0</v>
      </c>
      <c r="AB50" s="822">
        <f t="shared" si="9"/>
        <v>0</v>
      </c>
      <c r="AC50" s="876">
        <f t="shared" si="10"/>
        <v>0</v>
      </c>
    </row>
    <row r="51" spans="1:29">
      <c r="A51" s="866" t="s">
        <v>300</v>
      </c>
      <c r="B51" s="867"/>
      <c r="C51" s="785">
        <v>1364000</v>
      </c>
      <c r="D51" s="815">
        <f t="shared" si="0"/>
        <v>1364000</v>
      </c>
      <c r="E51" s="761">
        <v>273161</v>
      </c>
      <c r="F51" s="761">
        <v>679050</v>
      </c>
      <c r="G51" s="815">
        <f t="shared" si="1"/>
        <v>679050</v>
      </c>
      <c r="H51" s="761">
        <v>21681</v>
      </c>
      <c r="I51" s="761">
        <v>756000</v>
      </c>
      <c r="J51" s="815">
        <f t="shared" si="2"/>
        <v>756000</v>
      </c>
      <c r="K51" s="827">
        <v>304077</v>
      </c>
      <c r="L51" s="795">
        <v>40500</v>
      </c>
      <c r="M51" s="759">
        <f t="shared" si="3"/>
        <v>40500</v>
      </c>
      <c r="N51" s="796">
        <v>232</v>
      </c>
      <c r="O51" s="795">
        <v>40000</v>
      </c>
      <c r="P51" s="763">
        <f t="shared" si="4"/>
        <v>40000</v>
      </c>
      <c r="Q51" s="796">
        <v>12427</v>
      </c>
      <c r="R51" s="795"/>
      <c r="S51" s="763"/>
      <c r="T51" s="796"/>
      <c r="U51" s="795">
        <v>81000</v>
      </c>
      <c r="V51" s="763">
        <f t="shared" si="6"/>
        <v>81000</v>
      </c>
      <c r="W51" s="796">
        <v>30181</v>
      </c>
      <c r="X51" s="795">
        <v>64800</v>
      </c>
      <c r="Y51" s="763">
        <f t="shared" si="7"/>
        <v>64800</v>
      </c>
      <c r="Z51" s="806">
        <v>56657</v>
      </c>
      <c r="AA51" s="822">
        <f t="shared" si="8"/>
        <v>3025350</v>
      </c>
      <c r="AB51" s="822">
        <f>SUM(D51,G51,J51,M51,P51,S51,V51,Y51)</f>
        <v>3025350</v>
      </c>
      <c r="AC51" s="876">
        <f t="shared" si="10"/>
        <v>698416</v>
      </c>
    </row>
    <row r="52" spans="1:29" ht="31.5" hidden="1">
      <c r="A52" s="864" t="s">
        <v>301</v>
      </c>
      <c r="B52" s="865" t="s">
        <v>98</v>
      </c>
      <c r="C52" s="786">
        <v>0</v>
      </c>
      <c r="D52" s="759">
        <f t="shared" si="0"/>
        <v>0</v>
      </c>
      <c r="E52" s="762"/>
      <c r="F52" s="762"/>
      <c r="G52" s="759">
        <f t="shared" si="1"/>
        <v>0</v>
      </c>
      <c r="H52" s="762"/>
      <c r="I52" s="762"/>
      <c r="J52" s="759">
        <f t="shared" si="2"/>
        <v>0</v>
      </c>
      <c r="K52" s="828"/>
      <c r="L52" s="797"/>
      <c r="M52" s="759">
        <f t="shared" si="3"/>
        <v>0</v>
      </c>
      <c r="N52" s="798"/>
      <c r="O52" s="797"/>
      <c r="P52" s="763">
        <f t="shared" si="4"/>
        <v>0</v>
      </c>
      <c r="Q52" s="798"/>
      <c r="R52" s="797"/>
      <c r="S52" s="763">
        <f t="shared" si="5"/>
        <v>0</v>
      </c>
      <c r="T52" s="798"/>
      <c r="U52" s="797"/>
      <c r="V52" s="763">
        <f t="shared" si="6"/>
        <v>0</v>
      </c>
      <c r="W52" s="798"/>
      <c r="X52" s="797"/>
      <c r="Y52" s="763">
        <f t="shared" si="7"/>
        <v>0</v>
      </c>
      <c r="Z52" s="807"/>
      <c r="AA52" s="822">
        <f t="shared" si="8"/>
        <v>0</v>
      </c>
      <c r="AB52" s="822">
        <f t="shared" si="9"/>
        <v>0</v>
      </c>
      <c r="AC52" s="876">
        <f t="shared" si="10"/>
        <v>0</v>
      </c>
    </row>
    <row r="53" spans="1:29" hidden="1">
      <c r="A53" s="864" t="s">
        <v>99</v>
      </c>
      <c r="B53" s="865" t="s">
        <v>100</v>
      </c>
      <c r="C53" s="786">
        <v>0</v>
      </c>
      <c r="D53" s="759">
        <f t="shared" si="0"/>
        <v>0</v>
      </c>
      <c r="E53" s="762"/>
      <c r="F53" s="762"/>
      <c r="G53" s="759">
        <f t="shared" si="1"/>
        <v>0</v>
      </c>
      <c r="H53" s="762"/>
      <c r="I53" s="762"/>
      <c r="J53" s="759">
        <f t="shared" si="2"/>
        <v>0</v>
      </c>
      <c r="K53" s="828"/>
      <c r="L53" s="797"/>
      <c r="M53" s="759">
        <f t="shared" si="3"/>
        <v>0</v>
      </c>
      <c r="N53" s="798"/>
      <c r="O53" s="797"/>
      <c r="P53" s="763">
        <f t="shared" si="4"/>
        <v>0</v>
      </c>
      <c r="Q53" s="798"/>
      <c r="R53" s="797"/>
      <c r="S53" s="763">
        <f t="shared" si="5"/>
        <v>0</v>
      </c>
      <c r="T53" s="798"/>
      <c r="U53" s="797"/>
      <c r="V53" s="763">
        <f t="shared" si="6"/>
        <v>0</v>
      </c>
      <c r="W53" s="798"/>
      <c r="X53" s="797"/>
      <c r="Y53" s="763">
        <f t="shared" si="7"/>
        <v>0</v>
      </c>
      <c r="Z53" s="807"/>
      <c r="AA53" s="822">
        <f t="shared" si="8"/>
        <v>0</v>
      </c>
      <c r="AB53" s="822">
        <f t="shared" si="9"/>
        <v>0</v>
      </c>
      <c r="AC53" s="876">
        <f t="shared" si="10"/>
        <v>0</v>
      </c>
    </row>
    <row r="54" spans="1:29">
      <c r="A54" s="864" t="s">
        <v>302</v>
      </c>
      <c r="B54" s="865" t="s">
        <v>104</v>
      </c>
      <c r="C54" s="784">
        <f>SUM(C55:C56)</f>
        <v>300000</v>
      </c>
      <c r="D54" s="759">
        <f t="shared" si="0"/>
        <v>300000</v>
      </c>
      <c r="E54" s="760">
        <f>SUM(E55:E56)</f>
        <v>2716</v>
      </c>
      <c r="F54" s="760">
        <f>SUM(F55:F56)</f>
        <v>2000000</v>
      </c>
      <c r="G54" s="759">
        <f t="shared" si="1"/>
        <v>2000000</v>
      </c>
      <c r="H54" s="760">
        <f t="shared" ref="H54" si="33">SUM(H55:H56)</f>
        <v>0</v>
      </c>
      <c r="I54" s="760">
        <f>SUM(I55:I55)</f>
        <v>0</v>
      </c>
      <c r="J54" s="759">
        <f t="shared" si="2"/>
        <v>0</v>
      </c>
      <c r="K54" s="826"/>
      <c r="L54" s="793">
        <f>SUM(L55:L55)</f>
        <v>0</v>
      </c>
      <c r="M54" s="759">
        <f t="shared" si="3"/>
        <v>0</v>
      </c>
      <c r="N54" s="794"/>
      <c r="O54" s="793">
        <f>SUM(O55:O55)</f>
        <v>0</v>
      </c>
      <c r="P54" s="763">
        <f t="shared" si="4"/>
        <v>0</v>
      </c>
      <c r="Q54" s="794">
        <f>SUM(Q55:Q56)</f>
        <v>5</v>
      </c>
      <c r="R54" s="793">
        <f>SUM(R55:R55)</f>
        <v>0</v>
      </c>
      <c r="S54" s="817">
        <f t="shared" si="5"/>
        <v>0</v>
      </c>
      <c r="T54" s="794">
        <f>SUM(T55:T55)</f>
        <v>0</v>
      </c>
      <c r="U54" s="793">
        <f>SUM(U55:U55)</f>
        <v>0</v>
      </c>
      <c r="V54" s="817">
        <f t="shared" si="6"/>
        <v>0</v>
      </c>
      <c r="W54" s="794">
        <f>SUM(W55:W55)</f>
        <v>0</v>
      </c>
      <c r="X54" s="793">
        <f>SUM(X55:X55)</f>
        <v>0</v>
      </c>
      <c r="Y54" s="763">
        <f t="shared" si="7"/>
        <v>0</v>
      </c>
      <c r="Z54" s="805">
        <f>SUM(Z55:Z55)</f>
        <v>0</v>
      </c>
      <c r="AA54" s="822">
        <f t="shared" si="8"/>
        <v>2300000</v>
      </c>
      <c r="AB54" s="822">
        <f t="shared" si="9"/>
        <v>2300000</v>
      </c>
      <c r="AC54" s="876">
        <f t="shared" si="10"/>
        <v>2721</v>
      </c>
    </row>
    <row r="55" spans="1:29">
      <c r="A55" s="866" t="s">
        <v>516</v>
      </c>
      <c r="B55" s="867"/>
      <c r="C55" s="785"/>
      <c r="D55" s="759">
        <f t="shared" si="0"/>
        <v>0</v>
      </c>
      <c r="E55" s="761"/>
      <c r="F55" s="761"/>
      <c r="G55" s="759"/>
      <c r="H55" s="761"/>
      <c r="I55" s="761"/>
      <c r="J55" s="759"/>
      <c r="K55" s="827"/>
      <c r="L55" s="795"/>
      <c r="M55" s="759">
        <f t="shared" si="3"/>
        <v>0</v>
      </c>
      <c r="N55" s="796"/>
      <c r="O55" s="795"/>
      <c r="P55" s="763"/>
      <c r="Q55" s="796"/>
      <c r="R55" s="795"/>
      <c r="S55" s="763"/>
      <c r="T55" s="796"/>
      <c r="U55" s="795"/>
      <c r="V55" s="763"/>
      <c r="W55" s="796"/>
      <c r="X55" s="795"/>
      <c r="Y55" s="763">
        <f t="shared" si="7"/>
        <v>0</v>
      </c>
      <c r="Z55" s="806"/>
      <c r="AA55" s="822">
        <f t="shared" si="8"/>
        <v>0</v>
      </c>
      <c r="AB55" s="822">
        <f t="shared" si="9"/>
        <v>0</v>
      </c>
      <c r="AC55" s="876">
        <f t="shared" si="10"/>
        <v>0</v>
      </c>
    </row>
    <row r="56" spans="1:29">
      <c r="A56" s="866" t="s">
        <v>467</v>
      </c>
      <c r="B56" s="867"/>
      <c r="C56" s="785">
        <v>300000</v>
      </c>
      <c r="D56" s="815">
        <f t="shared" si="0"/>
        <v>300000</v>
      </c>
      <c r="E56" s="761">
        <v>2716</v>
      </c>
      <c r="F56" s="761">
        <v>2000000</v>
      </c>
      <c r="G56" s="815">
        <f t="shared" si="1"/>
        <v>2000000</v>
      </c>
      <c r="H56" s="761">
        <v>0</v>
      </c>
      <c r="I56" s="761"/>
      <c r="J56" s="759"/>
      <c r="K56" s="827"/>
      <c r="L56" s="795"/>
      <c r="M56" s="759">
        <f t="shared" si="3"/>
        <v>0</v>
      </c>
      <c r="N56" s="796"/>
      <c r="O56" s="795"/>
      <c r="P56" s="763"/>
      <c r="Q56" s="796">
        <v>5</v>
      </c>
      <c r="R56" s="795"/>
      <c r="S56" s="763"/>
      <c r="T56" s="796"/>
      <c r="U56" s="795"/>
      <c r="V56" s="763"/>
      <c r="W56" s="796"/>
      <c r="X56" s="795"/>
      <c r="Y56" s="763">
        <f t="shared" si="7"/>
        <v>0</v>
      </c>
      <c r="Z56" s="806"/>
      <c r="AA56" s="822">
        <f t="shared" si="8"/>
        <v>2300000</v>
      </c>
      <c r="AB56" s="822">
        <f t="shared" si="9"/>
        <v>2300000</v>
      </c>
      <c r="AC56" s="876">
        <f t="shared" si="10"/>
        <v>2721</v>
      </c>
    </row>
    <row r="57" spans="1:29" s="698" customFormat="1" ht="31.5">
      <c r="A57" s="868" t="s">
        <v>305</v>
      </c>
      <c r="B57" s="865" t="s">
        <v>110</v>
      </c>
      <c r="C57" s="784">
        <f>SUM(C54,C49,C52,C53)</f>
        <v>1664000</v>
      </c>
      <c r="D57" s="814">
        <f t="shared" si="0"/>
        <v>1664000</v>
      </c>
      <c r="E57" s="760">
        <f>SUM(E54,E49,E52,E53)</f>
        <v>275877</v>
      </c>
      <c r="F57" s="760">
        <f>SUM(F54,F49,F52,F53)</f>
        <v>2679050</v>
      </c>
      <c r="G57" s="814">
        <f t="shared" si="1"/>
        <v>2679050</v>
      </c>
      <c r="H57" s="760">
        <f t="shared" ref="H57" si="34">SUM(H54,H49,H52,H53)</f>
        <v>21681</v>
      </c>
      <c r="I57" s="760">
        <f t="shared" ref="I57:R57" si="35">SUM(I54,I49,I52,I53)</f>
        <v>756000</v>
      </c>
      <c r="J57" s="814">
        <f t="shared" si="2"/>
        <v>756000</v>
      </c>
      <c r="K57" s="826">
        <f t="shared" si="35"/>
        <v>304077</v>
      </c>
      <c r="L57" s="793">
        <f t="shared" si="35"/>
        <v>40500</v>
      </c>
      <c r="M57" s="814">
        <f t="shared" si="3"/>
        <v>40500</v>
      </c>
      <c r="N57" s="794">
        <f t="shared" si="35"/>
        <v>232</v>
      </c>
      <c r="O57" s="793">
        <f t="shared" si="35"/>
        <v>40000</v>
      </c>
      <c r="P57" s="818">
        <f t="shared" si="4"/>
        <v>40000</v>
      </c>
      <c r="Q57" s="794">
        <f>SUM(Q54,Q49,Q52,Q53)</f>
        <v>12432</v>
      </c>
      <c r="R57" s="793">
        <f t="shared" si="35"/>
        <v>0</v>
      </c>
      <c r="S57" s="821">
        <f t="shared" si="5"/>
        <v>0</v>
      </c>
      <c r="T57" s="794">
        <f t="shared" ref="T57:U57" si="36">SUM(T54,T49,T52,T53)</f>
        <v>0</v>
      </c>
      <c r="U57" s="793">
        <f t="shared" si="36"/>
        <v>81000</v>
      </c>
      <c r="V57" s="760">
        <f>SUM(V54,V49,V52,V53)</f>
        <v>81000</v>
      </c>
      <c r="W57" s="794">
        <f t="shared" ref="W57" si="37">SUM(W54,W49,W52,W53)</f>
        <v>30181</v>
      </c>
      <c r="X57" s="793">
        <f t="shared" ref="X57" si="38">SUM(X54,X49,X52,X53)</f>
        <v>64800</v>
      </c>
      <c r="Y57" s="818">
        <f t="shared" si="7"/>
        <v>64800</v>
      </c>
      <c r="Z57" s="805">
        <f t="shared" ref="Z57" si="39">SUM(Z54,Z49,Z52,Z53)</f>
        <v>56657</v>
      </c>
      <c r="AA57" s="822">
        <f t="shared" si="8"/>
        <v>5325350</v>
      </c>
      <c r="AB57" s="822">
        <f t="shared" si="9"/>
        <v>5325350</v>
      </c>
      <c r="AC57" s="876">
        <f t="shared" si="10"/>
        <v>701137</v>
      </c>
    </row>
    <row r="58" spans="1:29">
      <c r="A58" s="864" t="s">
        <v>306</v>
      </c>
      <c r="B58" s="865" t="s">
        <v>112</v>
      </c>
      <c r="C58" s="784">
        <f>SUM(C57,C48,C45,C21,C16)</f>
        <v>6134000</v>
      </c>
      <c r="D58" s="759">
        <f t="shared" si="0"/>
        <v>6134000</v>
      </c>
      <c r="E58" s="760">
        <f>SUM(E57,E48,E45,E21,E16)</f>
        <v>1683077</v>
      </c>
      <c r="F58" s="760">
        <f>SUM(F57,F48,F45,F21,F16)</f>
        <v>5789050</v>
      </c>
      <c r="G58" s="760">
        <f>SUM(G57,G48,G45,G21,G16)</f>
        <v>5789050</v>
      </c>
      <c r="H58" s="760">
        <f>SUM(H57,H48,H45,H21,H16)</f>
        <v>221979</v>
      </c>
      <c r="I58" s="760">
        <f t="shared" ref="I58:W58" si="40">SUM(I57,I48,I45,I21,I16)</f>
        <v>3756000</v>
      </c>
      <c r="J58" s="759">
        <f t="shared" si="2"/>
        <v>3756000</v>
      </c>
      <c r="K58" s="826">
        <f t="shared" si="40"/>
        <v>1352091</v>
      </c>
      <c r="L58" s="793">
        <f>SUM(L57,L48,L45,L21,L16)</f>
        <v>210500</v>
      </c>
      <c r="M58" s="759">
        <f t="shared" si="3"/>
        <v>210500</v>
      </c>
      <c r="N58" s="794">
        <f t="shared" si="40"/>
        <v>1096</v>
      </c>
      <c r="O58" s="793">
        <f t="shared" si="40"/>
        <v>350000</v>
      </c>
      <c r="P58" s="763">
        <f t="shared" si="4"/>
        <v>350000</v>
      </c>
      <c r="Q58" s="794">
        <f t="shared" si="40"/>
        <v>58461</v>
      </c>
      <c r="R58" s="793">
        <f t="shared" si="40"/>
        <v>40000</v>
      </c>
      <c r="S58" s="760">
        <f t="shared" si="40"/>
        <v>40000</v>
      </c>
      <c r="T58" s="794">
        <f t="shared" si="40"/>
        <v>0</v>
      </c>
      <c r="U58" s="793">
        <f t="shared" si="40"/>
        <v>391000</v>
      </c>
      <c r="V58" s="760">
        <f t="shared" si="40"/>
        <v>391000</v>
      </c>
      <c r="W58" s="794">
        <f t="shared" si="40"/>
        <v>132315</v>
      </c>
      <c r="X58" s="793">
        <f t="shared" ref="X58" si="41">SUM(X57,X48,X45,X21,X16)</f>
        <v>1064800</v>
      </c>
      <c r="Y58" s="763">
        <f t="shared" si="7"/>
        <v>1064800</v>
      </c>
      <c r="Z58" s="805">
        <f>SUM(Z57,Z48,Z45,Z21,Z16)</f>
        <v>421550</v>
      </c>
      <c r="AA58" s="822">
        <f t="shared" si="8"/>
        <v>17735350</v>
      </c>
      <c r="AB58" s="822">
        <f>SUM(D58,G58,J58,M58,P58,S58,V58,Y58)</f>
        <v>17735350</v>
      </c>
      <c r="AC58" s="876">
        <f t="shared" si="10"/>
        <v>3870569</v>
      </c>
    </row>
    <row r="59" spans="1:29" s="820" customFormat="1" ht="19.5" thickBot="1">
      <c r="A59" s="1278" t="s">
        <v>517</v>
      </c>
      <c r="B59" s="1278"/>
      <c r="C59" s="832">
        <f>SUM(C58,C9,C8)</f>
        <v>6134000</v>
      </c>
      <c r="D59" s="824">
        <f t="shared" si="0"/>
        <v>6134000</v>
      </c>
      <c r="E59" s="819">
        <f>SUM(E58,E9,E8)</f>
        <v>1683077</v>
      </c>
      <c r="F59" s="819">
        <f>SUM(F58,F9,F8)</f>
        <v>5789050</v>
      </c>
      <c r="G59" s="824">
        <f t="shared" si="1"/>
        <v>5789050</v>
      </c>
      <c r="H59" s="819">
        <f>SUM(H58,H9,H8)</f>
        <v>221979</v>
      </c>
      <c r="I59" s="819">
        <f t="shared" ref="I59:Q59" si="42">SUM(I58,I9,I8)</f>
        <v>3756000</v>
      </c>
      <c r="J59" s="824">
        <f t="shared" si="2"/>
        <v>3756000</v>
      </c>
      <c r="K59" s="830">
        <f t="shared" si="42"/>
        <v>1352091</v>
      </c>
      <c r="L59" s="837">
        <f t="shared" si="42"/>
        <v>210500</v>
      </c>
      <c r="M59" s="838">
        <f t="shared" si="3"/>
        <v>210500</v>
      </c>
      <c r="N59" s="839">
        <f t="shared" si="42"/>
        <v>1096</v>
      </c>
      <c r="O59" s="837">
        <f>SUM(O58,O9,O8)</f>
        <v>4949100</v>
      </c>
      <c r="P59" s="841">
        <f t="shared" si="4"/>
        <v>4949100</v>
      </c>
      <c r="Q59" s="839">
        <f t="shared" si="42"/>
        <v>1990226</v>
      </c>
      <c r="R59" s="837">
        <f t="shared" ref="R59" si="43">SUM(R58,R9,R8)</f>
        <v>40000</v>
      </c>
      <c r="S59" s="841">
        <f t="shared" si="5"/>
        <v>40000</v>
      </c>
      <c r="T59" s="839">
        <f t="shared" ref="T59" si="44">SUM(T58,T9,T8)</f>
        <v>0</v>
      </c>
      <c r="U59" s="837">
        <f t="shared" ref="U59:V59" si="45">SUM(U58,U9,U8)</f>
        <v>391000</v>
      </c>
      <c r="V59" s="841">
        <f t="shared" si="45"/>
        <v>391000</v>
      </c>
      <c r="W59" s="839">
        <f t="shared" ref="W59" si="46">SUM(W58,W9,W8)</f>
        <v>132315</v>
      </c>
      <c r="X59" s="837">
        <f t="shared" ref="X59" si="47">SUM(X58,X9,X8)</f>
        <v>1064800</v>
      </c>
      <c r="Y59" s="841">
        <f t="shared" si="7"/>
        <v>1064800</v>
      </c>
      <c r="Z59" s="843">
        <f t="shared" ref="Z59" si="48">SUM(Z58,Z9,Z8)</f>
        <v>421550</v>
      </c>
      <c r="AA59" s="823">
        <f t="shared" si="8"/>
        <v>22334450</v>
      </c>
      <c r="AB59" s="823">
        <f>SUM(D59,G59,J59,M59,P59,S59,V59,Y59)</f>
        <v>22334450</v>
      </c>
      <c r="AC59" s="877">
        <f t="shared" si="10"/>
        <v>5802334</v>
      </c>
    </row>
    <row r="64" spans="1:29">
      <c r="L64" s="535" t="s">
        <v>1059</v>
      </c>
    </row>
  </sheetData>
  <mergeCells count="14">
    <mergeCell ref="AA5:AC6"/>
    <mergeCell ref="A3:I3"/>
    <mergeCell ref="A59:B59"/>
    <mergeCell ref="A5:A7"/>
    <mergeCell ref="B5:B7"/>
    <mergeCell ref="C6:E6"/>
    <mergeCell ref="F6:H6"/>
    <mergeCell ref="I6:K6"/>
    <mergeCell ref="L6:N6"/>
    <mergeCell ref="O6:Q6"/>
    <mergeCell ref="X6:Z6"/>
    <mergeCell ref="R6:T6"/>
    <mergeCell ref="U6:W6"/>
    <mergeCell ref="C5:Z5"/>
  </mergeCells>
  <pageMargins left="0.25" right="0.25" top="0.75" bottom="0.75" header="0.3" footer="0.3"/>
  <pageSetup paperSize="8" scale="36" fitToHeight="0" orientation="landscape" r:id="rId1"/>
  <colBreaks count="1" manualBreakCount="1">
    <brk id="17" max="5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A1:O70"/>
  <sheetViews>
    <sheetView view="pageBreakPreview" zoomScale="120" zoomScaleNormal="100" zoomScaleSheetLayoutView="120" workbookViewId="0">
      <selection activeCell="J38" sqref="J38"/>
    </sheetView>
  </sheetViews>
  <sheetFormatPr defaultColWidth="8.7109375" defaultRowHeight="15.75"/>
  <cols>
    <col min="1" max="1" width="26.28515625" style="535" customWidth="1"/>
    <col min="2" max="2" width="7.140625" style="535" customWidth="1"/>
    <col min="3" max="5" width="22.140625" style="535" customWidth="1"/>
    <col min="6" max="6" width="15.140625" style="535" customWidth="1"/>
    <col min="7" max="7" width="13.85546875" style="535" customWidth="1"/>
    <col min="8" max="8" width="16" style="535" customWidth="1"/>
    <col min="9" max="9" width="16.7109375" style="535" customWidth="1"/>
    <col min="10" max="10" width="15.85546875" style="535" customWidth="1"/>
    <col min="11" max="11" width="17.140625" style="535" bestFit="1" customWidth="1"/>
    <col min="12" max="13" width="18.42578125" style="535" bestFit="1" customWidth="1"/>
    <col min="14" max="14" width="18.42578125" style="535" customWidth="1"/>
    <col min="15" max="15" width="16.5703125" style="535" customWidth="1"/>
    <col min="16" max="16384" width="8.7109375" style="535"/>
  </cols>
  <sheetData>
    <row r="1" spans="1:15">
      <c r="A1" s="535" t="s">
        <v>519</v>
      </c>
    </row>
    <row r="3" spans="1:15" ht="37.5" customHeight="1">
      <c r="A3" s="1277" t="s">
        <v>982</v>
      </c>
      <c r="B3" s="1277"/>
      <c r="C3" s="1277"/>
      <c r="D3" s="1277"/>
      <c r="E3" s="1277"/>
      <c r="F3" s="1277"/>
      <c r="G3" s="1277"/>
      <c r="H3" s="1277"/>
      <c r="I3" s="1277"/>
      <c r="J3" s="1277"/>
      <c r="K3" s="1277"/>
      <c r="L3" s="1277"/>
      <c r="M3" s="714"/>
    </row>
    <row r="5" spans="1:15">
      <c r="A5" s="1290" t="s">
        <v>2</v>
      </c>
      <c r="B5" s="1290" t="s">
        <v>3</v>
      </c>
      <c r="C5" s="1296" t="s">
        <v>693</v>
      </c>
      <c r="D5" s="1297"/>
      <c r="E5" s="1297"/>
      <c r="F5" s="1297"/>
      <c r="G5" s="1297"/>
      <c r="H5" s="1297"/>
      <c r="I5" s="1297"/>
      <c r="J5" s="1297"/>
      <c r="K5" s="1298"/>
      <c r="L5" s="1295" t="s">
        <v>153</v>
      </c>
      <c r="M5" s="1295"/>
      <c r="N5" s="1295"/>
      <c r="O5" s="1295"/>
    </row>
    <row r="6" spans="1:15" ht="21" customHeight="1">
      <c r="A6" s="1290"/>
      <c r="B6" s="1290"/>
      <c r="C6" s="1292" t="s">
        <v>981</v>
      </c>
      <c r="D6" s="1293"/>
      <c r="E6" s="1294"/>
      <c r="F6" s="1291" t="s">
        <v>255</v>
      </c>
      <c r="G6" s="1291"/>
      <c r="H6" s="1291"/>
      <c r="I6" s="1292" t="s">
        <v>694</v>
      </c>
      <c r="J6" s="1293"/>
      <c r="K6" s="1294"/>
      <c r="L6" s="1295"/>
      <c r="M6" s="1295"/>
      <c r="N6" s="1295"/>
      <c r="O6" s="1295"/>
    </row>
    <row r="7" spans="1:15" ht="31.5" customHeight="1">
      <c r="A7" s="1290"/>
      <c r="B7" s="1290"/>
      <c r="C7" s="812" t="s">
        <v>638</v>
      </c>
      <c r="D7" s="812" t="s">
        <v>648</v>
      </c>
      <c r="E7" s="812" t="s">
        <v>951</v>
      </c>
      <c r="F7" s="754" t="s">
        <v>638</v>
      </c>
      <c r="G7" s="754" t="s">
        <v>648</v>
      </c>
      <c r="H7" s="812" t="s">
        <v>951</v>
      </c>
      <c r="I7" s="812" t="s">
        <v>638</v>
      </c>
      <c r="J7" s="812" t="s">
        <v>648</v>
      </c>
      <c r="K7" s="812" t="s">
        <v>951</v>
      </c>
      <c r="L7" s="711" t="s">
        <v>638</v>
      </c>
      <c r="M7" s="695" t="s">
        <v>648</v>
      </c>
      <c r="N7" s="528" t="s">
        <v>951</v>
      </c>
      <c r="O7" s="528" t="s">
        <v>637</v>
      </c>
    </row>
    <row r="8" spans="1:15" ht="21" hidden="1" customHeight="1">
      <c r="A8" s="680" t="s">
        <v>259</v>
      </c>
      <c r="B8" s="681" t="s">
        <v>44</v>
      </c>
      <c r="C8" s="755">
        <f t="shared" ref="C8:F8" si="0">SUM(C9:C13)</f>
        <v>0</v>
      </c>
      <c r="D8" s="755"/>
      <c r="E8" s="755"/>
      <c r="F8" s="755">
        <f t="shared" si="0"/>
        <v>0</v>
      </c>
      <c r="G8" s="755"/>
      <c r="H8" s="755"/>
      <c r="I8" s="755"/>
      <c r="J8" s="755"/>
      <c r="K8" s="755"/>
      <c r="L8" s="549"/>
      <c r="M8" s="549"/>
      <c r="N8" s="472"/>
      <c r="O8" s="472"/>
    </row>
    <row r="9" spans="1:15" ht="21" hidden="1" customHeight="1">
      <c r="A9" s="756" t="s">
        <v>260</v>
      </c>
      <c r="B9" s="686"/>
      <c r="C9" s="878"/>
      <c r="D9" s="878"/>
      <c r="E9" s="878"/>
      <c r="F9" s="757"/>
      <c r="G9" s="757"/>
      <c r="H9" s="757"/>
      <c r="I9" s="757"/>
      <c r="J9" s="757"/>
      <c r="K9" s="757"/>
      <c r="L9" s="549"/>
      <c r="M9" s="549"/>
      <c r="N9" s="472"/>
      <c r="O9" s="472"/>
    </row>
    <row r="10" spans="1:15" ht="21" hidden="1" customHeight="1">
      <c r="A10" s="756" t="s">
        <v>45</v>
      </c>
      <c r="B10" s="686"/>
      <c r="C10" s="757"/>
      <c r="D10" s="757"/>
      <c r="E10" s="757"/>
      <c r="F10" s="757"/>
      <c r="G10" s="757"/>
      <c r="H10" s="757"/>
      <c r="I10" s="757"/>
      <c r="J10" s="757"/>
      <c r="K10" s="757"/>
      <c r="L10" s="549"/>
      <c r="M10" s="549"/>
      <c r="N10" s="472"/>
      <c r="O10" s="472"/>
    </row>
    <row r="11" spans="1:15" ht="21" hidden="1" customHeight="1">
      <c r="A11" s="756" t="s">
        <v>261</v>
      </c>
      <c r="B11" s="686"/>
      <c r="C11" s="757"/>
      <c r="D11" s="757"/>
      <c r="E11" s="757"/>
      <c r="F11" s="757"/>
      <c r="G11" s="757"/>
      <c r="H11" s="757"/>
      <c r="I11" s="757"/>
      <c r="J11" s="757"/>
      <c r="K11" s="757"/>
      <c r="L11" s="549"/>
      <c r="M11" s="549"/>
      <c r="N11" s="472"/>
      <c r="O11" s="472"/>
    </row>
    <row r="12" spans="1:15" ht="21" hidden="1" customHeight="1">
      <c r="A12" s="756" t="s">
        <v>262</v>
      </c>
      <c r="B12" s="686"/>
      <c r="C12" s="757"/>
      <c r="D12" s="757"/>
      <c r="E12" s="757"/>
      <c r="F12" s="757"/>
      <c r="G12" s="757"/>
      <c r="H12" s="757"/>
      <c r="I12" s="757"/>
      <c r="J12" s="757"/>
      <c r="K12" s="757"/>
      <c r="L12" s="549"/>
      <c r="M12" s="549"/>
      <c r="N12" s="472"/>
      <c r="O12" s="472"/>
    </row>
    <row r="13" spans="1:15" ht="21" hidden="1" customHeight="1">
      <c r="A13" s="756" t="s">
        <v>263</v>
      </c>
      <c r="B13" s="686"/>
      <c r="C13" s="757"/>
      <c r="D13" s="757"/>
      <c r="E13" s="757"/>
      <c r="F13" s="757"/>
      <c r="G13" s="757"/>
      <c r="H13" s="757"/>
      <c r="I13" s="757"/>
      <c r="J13" s="757"/>
      <c r="K13" s="757"/>
      <c r="L13" s="549"/>
      <c r="M13" s="549"/>
      <c r="N13" s="472"/>
      <c r="O13" s="472"/>
    </row>
    <row r="14" spans="1:15" ht="32.25" customHeight="1">
      <c r="A14" s="680" t="s">
        <v>264</v>
      </c>
      <c r="B14" s="681" t="s">
        <v>49</v>
      </c>
      <c r="C14" s="760">
        <f>SUM(C15:C20)</f>
        <v>0</v>
      </c>
      <c r="D14" s="760">
        <f>C14</f>
        <v>0</v>
      </c>
      <c r="E14" s="760"/>
      <c r="F14" s="760">
        <f t="shared" ref="F14" si="1">SUM(F15:F20)</f>
        <v>0</v>
      </c>
      <c r="G14" s="760">
        <f>F14</f>
        <v>0</v>
      </c>
      <c r="H14" s="760"/>
      <c r="I14" s="760">
        <v>250000</v>
      </c>
      <c r="J14" s="760">
        <f>I14</f>
        <v>250000</v>
      </c>
      <c r="K14" s="760"/>
      <c r="L14" s="760">
        <f>SUM(C14,F14,I14)</f>
        <v>250000</v>
      </c>
      <c r="M14" s="760">
        <f>SUM(D14,G14,J14)</f>
        <v>250000</v>
      </c>
      <c r="N14" s="760">
        <f>SUM(E14,H14,K14)</f>
        <v>0</v>
      </c>
      <c r="O14" s="683">
        <f>N14/M14</f>
        <v>0</v>
      </c>
    </row>
    <row r="15" spans="1:15" ht="21" hidden="1" customHeight="1">
      <c r="A15" s="756" t="s">
        <v>265</v>
      </c>
      <c r="B15" s="686"/>
      <c r="C15" s="761"/>
      <c r="D15" s="760">
        <f t="shared" ref="D15:D64" si="2">C15</f>
        <v>0</v>
      </c>
      <c r="E15" s="761"/>
      <c r="F15" s="761"/>
      <c r="G15" s="760">
        <f t="shared" ref="G15:G64" si="3">F15</f>
        <v>0</v>
      </c>
      <c r="H15" s="761"/>
      <c r="I15" s="761"/>
      <c r="J15" s="760">
        <f t="shared" ref="J15:J64" si="4">I15</f>
        <v>0</v>
      </c>
      <c r="K15" s="761"/>
      <c r="L15" s="760">
        <f t="shared" ref="L15:L68" si="5">SUM(C15,F15,I15)</f>
        <v>0</v>
      </c>
      <c r="M15" s="760">
        <f t="shared" ref="M15:M29" si="6">SUM(D15,G15,J15)</f>
        <v>0</v>
      </c>
      <c r="N15" s="760">
        <f t="shared" ref="N15:N68" si="7">SUM(E15,H15,K15)</f>
        <v>0</v>
      </c>
      <c r="O15" s="683" t="e">
        <f t="shared" ref="O15:O69" si="8">N15/M15</f>
        <v>#DIV/0!</v>
      </c>
    </row>
    <row r="16" spans="1:15" ht="21" hidden="1" customHeight="1">
      <c r="A16" s="756" t="s">
        <v>266</v>
      </c>
      <c r="B16" s="686"/>
      <c r="C16" s="761"/>
      <c r="D16" s="760">
        <f t="shared" si="2"/>
        <v>0</v>
      </c>
      <c r="E16" s="761"/>
      <c r="F16" s="761"/>
      <c r="G16" s="760">
        <f t="shared" si="3"/>
        <v>0</v>
      </c>
      <c r="H16" s="761"/>
      <c r="I16" s="761"/>
      <c r="J16" s="760">
        <f t="shared" si="4"/>
        <v>0</v>
      </c>
      <c r="K16" s="761"/>
      <c r="L16" s="760">
        <f t="shared" si="5"/>
        <v>0</v>
      </c>
      <c r="M16" s="760">
        <f t="shared" si="6"/>
        <v>0</v>
      </c>
      <c r="N16" s="760">
        <f t="shared" si="7"/>
        <v>0</v>
      </c>
      <c r="O16" s="683" t="e">
        <f t="shared" si="8"/>
        <v>#DIV/0!</v>
      </c>
    </row>
    <row r="17" spans="1:15" ht="21" hidden="1" customHeight="1">
      <c r="A17" s="756" t="s">
        <v>267</v>
      </c>
      <c r="B17" s="686"/>
      <c r="C17" s="761"/>
      <c r="D17" s="760">
        <f t="shared" si="2"/>
        <v>0</v>
      </c>
      <c r="E17" s="761"/>
      <c r="F17" s="761"/>
      <c r="G17" s="760">
        <f t="shared" si="3"/>
        <v>0</v>
      </c>
      <c r="H17" s="761"/>
      <c r="I17" s="761"/>
      <c r="J17" s="760">
        <f t="shared" si="4"/>
        <v>0</v>
      </c>
      <c r="K17" s="761"/>
      <c r="L17" s="760">
        <f t="shared" si="5"/>
        <v>0</v>
      </c>
      <c r="M17" s="760">
        <f t="shared" si="6"/>
        <v>0</v>
      </c>
      <c r="N17" s="760">
        <f t="shared" si="7"/>
        <v>0</v>
      </c>
      <c r="O17" s="683" t="e">
        <f t="shared" si="8"/>
        <v>#DIV/0!</v>
      </c>
    </row>
    <row r="18" spans="1:15" ht="21" hidden="1" customHeight="1">
      <c r="A18" s="756" t="s">
        <v>268</v>
      </c>
      <c r="B18" s="686"/>
      <c r="C18" s="761"/>
      <c r="D18" s="760">
        <f t="shared" si="2"/>
        <v>0</v>
      </c>
      <c r="E18" s="761"/>
      <c r="F18" s="761"/>
      <c r="G18" s="760">
        <f t="shared" si="3"/>
        <v>0</v>
      </c>
      <c r="H18" s="761"/>
      <c r="I18" s="761"/>
      <c r="J18" s="760">
        <f t="shared" si="4"/>
        <v>0</v>
      </c>
      <c r="K18" s="761"/>
      <c r="L18" s="760">
        <f t="shared" si="5"/>
        <v>0</v>
      </c>
      <c r="M18" s="760">
        <f t="shared" si="6"/>
        <v>0</v>
      </c>
      <c r="N18" s="760">
        <f t="shared" si="7"/>
        <v>0</v>
      </c>
      <c r="O18" s="683" t="e">
        <f t="shared" si="8"/>
        <v>#DIV/0!</v>
      </c>
    </row>
    <row r="19" spans="1:15" ht="21" hidden="1" customHeight="1">
      <c r="A19" s="756" t="s">
        <v>54</v>
      </c>
      <c r="B19" s="686"/>
      <c r="C19" s="761"/>
      <c r="D19" s="760">
        <f t="shared" si="2"/>
        <v>0</v>
      </c>
      <c r="E19" s="761"/>
      <c r="F19" s="761"/>
      <c r="G19" s="760">
        <f t="shared" si="3"/>
        <v>0</v>
      </c>
      <c r="H19" s="761"/>
      <c r="I19" s="761"/>
      <c r="J19" s="760">
        <f t="shared" si="4"/>
        <v>0</v>
      </c>
      <c r="K19" s="761"/>
      <c r="L19" s="760">
        <f t="shared" si="5"/>
        <v>0</v>
      </c>
      <c r="M19" s="760">
        <f t="shared" si="6"/>
        <v>0</v>
      </c>
      <c r="N19" s="760">
        <f t="shared" si="7"/>
        <v>0</v>
      </c>
      <c r="O19" s="683" t="e">
        <f t="shared" si="8"/>
        <v>#DIV/0!</v>
      </c>
    </row>
    <row r="20" spans="1:15" ht="21" hidden="1" customHeight="1">
      <c r="A20" s="756" t="s">
        <v>269</v>
      </c>
      <c r="B20" s="686"/>
      <c r="C20" s="761"/>
      <c r="D20" s="760">
        <f t="shared" si="2"/>
        <v>0</v>
      </c>
      <c r="E20" s="761">
        <v>120561</v>
      </c>
      <c r="F20" s="761"/>
      <c r="G20" s="760">
        <f t="shared" si="3"/>
        <v>0</v>
      </c>
      <c r="H20" s="761"/>
      <c r="I20" s="761"/>
      <c r="J20" s="760">
        <f t="shared" si="4"/>
        <v>0</v>
      </c>
      <c r="K20" s="761"/>
      <c r="L20" s="760">
        <f t="shared" si="5"/>
        <v>0</v>
      </c>
      <c r="M20" s="760">
        <f t="shared" si="6"/>
        <v>0</v>
      </c>
      <c r="N20" s="760">
        <f t="shared" si="7"/>
        <v>120561</v>
      </c>
      <c r="O20" s="683" t="e">
        <f t="shared" si="8"/>
        <v>#DIV/0!</v>
      </c>
    </row>
    <row r="21" spans="1:15" ht="21" hidden="1" customHeight="1">
      <c r="A21" s="680" t="s">
        <v>270</v>
      </c>
      <c r="B21" s="681" t="s">
        <v>271</v>
      </c>
      <c r="C21" s="762">
        <v>0</v>
      </c>
      <c r="D21" s="760">
        <f t="shared" si="2"/>
        <v>0</v>
      </c>
      <c r="E21" s="762"/>
      <c r="F21" s="762"/>
      <c r="G21" s="760">
        <f t="shared" si="3"/>
        <v>0</v>
      </c>
      <c r="H21" s="762"/>
      <c r="I21" s="762"/>
      <c r="J21" s="760">
        <f t="shared" si="4"/>
        <v>0</v>
      </c>
      <c r="K21" s="762"/>
      <c r="L21" s="760">
        <f t="shared" si="5"/>
        <v>0</v>
      </c>
      <c r="M21" s="760">
        <f t="shared" si="6"/>
        <v>0</v>
      </c>
      <c r="N21" s="760">
        <f t="shared" si="7"/>
        <v>0</v>
      </c>
      <c r="O21" s="683" t="e">
        <f t="shared" si="8"/>
        <v>#DIV/0!</v>
      </c>
    </row>
    <row r="22" spans="1:15" ht="21" hidden="1" customHeight="1">
      <c r="A22" s="680" t="s">
        <v>272</v>
      </c>
      <c r="B22" s="681" t="s">
        <v>56</v>
      </c>
      <c r="C22" s="760">
        <f t="shared" ref="C22:F22" si="9">SUM(C14,C8,C21)</f>
        <v>0</v>
      </c>
      <c r="D22" s="760">
        <f t="shared" si="2"/>
        <v>0</v>
      </c>
      <c r="E22" s="760"/>
      <c r="F22" s="760">
        <f t="shared" si="9"/>
        <v>0</v>
      </c>
      <c r="G22" s="760">
        <f t="shared" si="3"/>
        <v>0</v>
      </c>
      <c r="H22" s="760"/>
      <c r="I22" s="760"/>
      <c r="J22" s="760">
        <f t="shared" si="4"/>
        <v>0</v>
      </c>
      <c r="K22" s="760"/>
      <c r="L22" s="760">
        <f t="shared" si="5"/>
        <v>0</v>
      </c>
      <c r="M22" s="760">
        <f t="shared" si="6"/>
        <v>0</v>
      </c>
      <c r="N22" s="760">
        <f t="shared" si="7"/>
        <v>0</v>
      </c>
      <c r="O22" s="683" t="e">
        <f t="shared" si="8"/>
        <v>#DIV/0!</v>
      </c>
    </row>
    <row r="23" spans="1:15" ht="21" hidden="1" customHeight="1">
      <c r="A23" s="680" t="s">
        <v>273</v>
      </c>
      <c r="B23" s="681" t="s">
        <v>58</v>
      </c>
      <c r="C23" s="762">
        <f t="shared" ref="C23" si="10">SUM(C24:C27)</f>
        <v>0</v>
      </c>
      <c r="D23" s="760">
        <f t="shared" si="2"/>
        <v>0</v>
      </c>
      <c r="E23" s="762"/>
      <c r="F23" s="762"/>
      <c r="G23" s="760">
        <f t="shared" si="3"/>
        <v>0</v>
      </c>
      <c r="H23" s="762"/>
      <c r="I23" s="762"/>
      <c r="J23" s="760">
        <f t="shared" si="4"/>
        <v>0</v>
      </c>
      <c r="K23" s="762"/>
      <c r="L23" s="760">
        <f t="shared" si="5"/>
        <v>0</v>
      </c>
      <c r="M23" s="760">
        <f t="shared" si="6"/>
        <v>0</v>
      </c>
      <c r="N23" s="760">
        <f t="shared" si="7"/>
        <v>0</v>
      </c>
      <c r="O23" s="683" t="e">
        <f t="shared" si="8"/>
        <v>#DIV/0!</v>
      </c>
    </row>
    <row r="24" spans="1:15" ht="21" hidden="1" customHeight="1">
      <c r="A24" s="756" t="s">
        <v>274</v>
      </c>
      <c r="B24" s="686"/>
      <c r="C24" s="761"/>
      <c r="D24" s="760">
        <f t="shared" si="2"/>
        <v>0</v>
      </c>
      <c r="E24" s="761"/>
      <c r="F24" s="761"/>
      <c r="G24" s="760">
        <f t="shared" si="3"/>
        <v>0</v>
      </c>
      <c r="H24" s="761"/>
      <c r="I24" s="761"/>
      <c r="J24" s="760">
        <f t="shared" si="4"/>
        <v>0</v>
      </c>
      <c r="K24" s="761"/>
      <c r="L24" s="760">
        <f t="shared" si="5"/>
        <v>0</v>
      </c>
      <c r="M24" s="760">
        <f t="shared" si="6"/>
        <v>0</v>
      </c>
      <c r="N24" s="760">
        <f t="shared" si="7"/>
        <v>0</v>
      </c>
      <c r="O24" s="683" t="e">
        <f t="shared" si="8"/>
        <v>#DIV/0!</v>
      </c>
    </row>
    <row r="25" spans="1:15" ht="21" hidden="1" customHeight="1">
      <c r="A25" s="756" t="s">
        <v>275</v>
      </c>
      <c r="B25" s="686"/>
      <c r="C25" s="761"/>
      <c r="D25" s="760">
        <f t="shared" si="2"/>
        <v>0</v>
      </c>
      <c r="E25" s="761"/>
      <c r="F25" s="761"/>
      <c r="G25" s="760">
        <f t="shared" si="3"/>
        <v>0</v>
      </c>
      <c r="H25" s="761"/>
      <c r="I25" s="761"/>
      <c r="J25" s="760">
        <f t="shared" si="4"/>
        <v>0</v>
      </c>
      <c r="K25" s="761"/>
      <c r="L25" s="760">
        <f t="shared" si="5"/>
        <v>0</v>
      </c>
      <c r="M25" s="760">
        <f t="shared" si="6"/>
        <v>0</v>
      </c>
      <c r="N25" s="760">
        <f t="shared" si="7"/>
        <v>0</v>
      </c>
      <c r="O25" s="683" t="e">
        <f t="shared" si="8"/>
        <v>#DIV/0!</v>
      </c>
    </row>
    <row r="26" spans="1:15" ht="21" hidden="1" customHeight="1">
      <c r="A26" s="756" t="s">
        <v>276</v>
      </c>
      <c r="B26" s="686"/>
      <c r="C26" s="761"/>
      <c r="D26" s="760">
        <f t="shared" si="2"/>
        <v>0</v>
      </c>
      <c r="E26" s="761"/>
      <c r="F26" s="761"/>
      <c r="G26" s="760">
        <f t="shared" si="3"/>
        <v>0</v>
      </c>
      <c r="H26" s="761"/>
      <c r="I26" s="761"/>
      <c r="J26" s="760">
        <f t="shared" si="4"/>
        <v>0</v>
      </c>
      <c r="K26" s="761"/>
      <c r="L26" s="760">
        <f t="shared" si="5"/>
        <v>0</v>
      </c>
      <c r="M26" s="760">
        <f t="shared" si="6"/>
        <v>0</v>
      </c>
      <c r="N26" s="760">
        <f t="shared" si="7"/>
        <v>0</v>
      </c>
      <c r="O26" s="683" t="e">
        <f t="shared" si="8"/>
        <v>#DIV/0!</v>
      </c>
    </row>
    <row r="27" spans="1:15" ht="21" hidden="1" customHeight="1">
      <c r="A27" s="756" t="s">
        <v>277</v>
      </c>
      <c r="B27" s="686"/>
      <c r="C27" s="761"/>
      <c r="D27" s="760">
        <f t="shared" si="2"/>
        <v>0</v>
      </c>
      <c r="E27" s="761"/>
      <c r="F27" s="761"/>
      <c r="G27" s="760">
        <f t="shared" si="3"/>
        <v>0</v>
      </c>
      <c r="H27" s="761"/>
      <c r="I27" s="761"/>
      <c r="J27" s="760">
        <f t="shared" si="4"/>
        <v>0</v>
      </c>
      <c r="K27" s="761"/>
      <c r="L27" s="760">
        <f t="shared" si="5"/>
        <v>0</v>
      </c>
      <c r="M27" s="760">
        <f t="shared" si="6"/>
        <v>0</v>
      </c>
      <c r="N27" s="760">
        <f t="shared" si="7"/>
        <v>0</v>
      </c>
      <c r="O27" s="683" t="e">
        <f t="shared" si="8"/>
        <v>#DIV/0!</v>
      </c>
    </row>
    <row r="28" spans="1:15" ht="21" hidden="1" customHeight="1">
      <c r="A28" s="680" t="s">
        <v>278</v>
      </c>
      <c r="B28" s="681" t="s">
        <v>60</v>
      </c>
      <c r="C28" s="760">
        <f>SUM(C29:C30)</f>
        <v>0</v>
      </c>
      <c r="D28" s="760">
        <f t="shared" si="2"/>
        <v>0</v>
      </c>
      <c r="E28" s="760"/>
      <c r="F28" s="762"/>
      <c r="G28" s="760">
        <f t="shared" si="3"/>
        <v>0</v>
      </c>
      <c r="H28" s="762"/>
      <c r="I28" s="762"/>
      <c r="J28" s="760">
        <f t="shared" si="4"/>
        <v>0</v>
      </c>
      <c r="K28" s="762"/>
      <c r="L28" s="760">
        <f t="shared" si="5"/>
        <v>0</v>
      </c>
      <c r="M28" s="760">
        <f t="shared" si="6"/>
        <v>0</v>
      </c>
      <c r="N28" s="760">
        <f t="shared" si="7"/>
        <v>0</v>
      </c>
      <c r="O28" s="683" t="e">
        <f t="shared" si="8"/>
        <v>#DIV/0!</v>
      </c>
    </row>
    <row r="29" spans="1:15" ht="21" hidden="1" customHeight="1">
      <c r="A29" s="756" t="s">
        <v>279</v>
      </c>
      <c r="B29" s="686"/>
      <c r="C29" s="761"/>
      <c r="D29" s="760">
        <f t="shared" si="2"/>
        <v>0</v>
      </c>
      <c r="E29" s="761"/>
      <c r="F29" s="761"/>
      <c r="G29" s="760">
        <f t="shared" si="3"/>
        <v>0</v>
      </c>
      <c r="H29" s="761"/>
      <c r="I29" s="761"/>
      <c r="J29" s="760">
        <f t="shared" si="4"/>
        <v>0</v>
      </c>
      <c r="K29" s="761"/>
      <c r="L29" s="760">
        <f t="shared" si="5"/>
        <v>0</v>
      </c>
      <c r="M29" s="760">
        <f t="shared" si="6"/>
        <v>0</v>
      </c>
      <c r="N29" s="760">
        <f t="shared" si="7"/>
        <v>0</v>
      </c>
      <c r="O29" s="683" t="e">
        <f t="shared" si="8"/>
        <v>#DIV/0!</v>
      </c>
    </row>
    <row r="30" spans="1:15" ht="21" hidden="1" customHeight="1">
      <c r="A30" s="756" t="s">
        <v>280</v>
      </c>
      <c r="B30" s="686"/>
      <c r="C30" s="761"/>
      <c r="D30" s="760">
        <f t="shared" si="2"/>
        <v>0</v>
      </c>
      <c r="E30" s="761"/>
      <c r="F30" s="761"/>
      <c r="G30" s="760">
        <f t="shared" si="3"/>
        <v>0</v>
      </c>
      <c r="H30" s="761"/>
      <c r="I30" s="761"/>
      <c r="J30" s="760">
        <f t="shared" si="4"/>
        <v>0</v>
      </c>
      <c r="K30" s="761"/>
      <c r="L30" s="760">
        <f t="shared" si="5"/>
        <v>0</v>
      </c>
      <c r="M30" s="760">
        <f t="shared" ref="M30:M45" si="11">SUM(D30,G30,J30)</f>
        <v>0</v>
      </c>
      <c r="N30" s="760">
        <f t="shared" si="7"/>
        <v>0</v>
      </c>
      <c r="O30" s="683" t="e">
        <f t="shared" si="8"/>
        <v>#DIV/0!</v>
      </c>
    </row>
    <row r="31" spans="1:15" ht="21" hidden="1" customHeight="1">
      <c r="A31" s="680" t="s">
        <v>62</v>
      </c>
      <c r="B31" s="681" t="s">
        <v>63</v>
      </c>
      <c r="C31" s="760">
        <f>SUM(C23,C28)</f>
        <v>0</v>
      </c>
      <c r="D31" s="760">
        <f t="shared" si="2"/>
        <v>0</v>
      </c>
      <c r="E31" s="760"/>
      <c r="F31" s="760">
        <f>SUM(F23,F28)</f>
        <v>0</v>
      </c>
      <c r="G31" s="760">
        <f t="shared" si="3"/>
        <v>0</v>
      </c>
      <c r="H31" s="760"/>
      <c r="I31" s="760"/>
      <c r="J31" s="760">
        <f t="shared" si="4"/>
        <v>0</v>
      </c>
      <c r="K31" s="760"/>
      <c r="L31" s="760">
        <f t="shared" si="5"/>
        <v>0</v>
      </c>
      <c r="M31" s="760">
        <f t="shared" si="11"/>
        <v>0</v>
      </c>
      <c r="N31" s="760">
        <f t="shared" si="7"/>
        <v>0</v>
      </c>
      <c r="O31" s="683" t="e">
        <f t="shared" si="8"/>
        <v>#DIV/0!</v>
      </c>
    </row>
    <row r="32" spans="1:15" ht="21" hidden="1" customHeight="1">
      <c r="A32" s="680" t="s">
        <v>281</v>
      </c>
      <c r="B32" s="681" t="s">
        <v>65</v>
      </c>
      <c r="C32" s="762"/>
      <c r="D32" s="760">
        <f t="shared" si="2"/>
        <v>0</v>
      </c>
      <c r="E32" s="762"/>
      <c r="F32" s="762"/>
      <c r="G32" s="760">
        <f t="shared" si="3"/>
        <v>0</v>
      </c>
      <c r="H32" s="762"/>
      <c r="I32" s="762"/>
      <c r="J32" s="760">
        <f t="shared" si="4"/>
        <v>0</v>
      </c>
      <c r="K32" s="762"/>
      <c r="L32" s="760">
        <f t="shared" si="5"/>
        <v>0</v>
      </c>
      <c r="M32" s="760">
        <f t="shared" si="11"/>
        <v>0</v>
      </c>
      <c r="N32" s="760">
        <f t="shared" si="7"/>
        <v>0</v>
      </c>
      <c r="O32" s="683" t="e">
        <f t="shared" si="8"/>
        <v>#DIV/0!</v>
      </c>
    </row>
    <row r="33" spans="1:15" ht="21" hidden="1" customHeight="1">
      <c r="A33" s="756" t="s">
        <v>282</v>
      </c>
      <c r="B33" s="686"/>
      <c r="C33" s="761"/>
      <c r="D33" s="760">
        <f t="shared" si="2"/>
        <v>0</v>
      </c>
      <c r="E33" s="761"/>
      <c r="F33" s="761"/>
      <c r="G33" s="760">
        <f t="shared" si="3"/>
        <v>0</v>
      </c>
      <c r="H33" s="761"/>
      <c r="I33" s="761"/>
      <c r="J33" s="760">
        <f t="shared" si="4"/>
        <v>0</v>
      </c>
      <c r="K33" s="761"/>
      <c r="L33" s="760">
        <f t="shared" si="5"/>
        <v>0</v>
      </c>
      <c r="M33" s="760">
        <f t="shared" si="11"/>
        <v>0</v>
      </c>
      <c r="N33" s="760">
        <f t="shared" si="7"/>
        <v>0</v>
      </c>
      <c r="O33" s="683" t="e">
        <f t="shared" si="8"/>
        <v>#DIV/0!</v>
      </c>
    </row>
    <row r="34" spans="1:15" ht="21" hidden="1" customHeight="1">
      <c r="A34" s="756" t="s">
        <v>283</v>
      </c>
      <c r="B34" s="686"/>
      <c r="C34" s="761"/>
      <c r="D34" s="760">
        <f t="shared" si="2"/>
        <v>0</v>
      </c>
      <c r="E34" s="761"/>
      <c r="F34" s="761"/>
      <c r="G34" s="760">
        <f t="shared" si="3"/>
        <v>0</v>
      </c>
      <c r="H34" s="761"/>
      <c r="I34" s="761"/>
      <c r="J34" s="760">
        <f t="shared" si="4"/>
        <v>0</v>
      </c>
      <c r="K34" s="761"/>
      <c r="L34" s="760">
        <f t="shared" si="5"/>
        <v>0</v>
      </c>
      <c r="M34" s="760">
        <f t="shared" si="11"/>
        <v>0</v>
      </c>
      <c r="N34" s="760">
        <f t="shared" si="7"/>
        <v>0</v>
      </c>
      <c r="O34" s="683" t="e">
        <f t="shared" si="8"/>
        <v>#DIV/0!</v>
      </c>
    </row>
    <row r="35" spans="1:15" ht="5.25" hidden="1" customHeight="1">
      <c r="A35" s="756" t="s">
        <v>284</v>
      </c>
      <c r="B35" s="686"/>
      <c r="C35" s="761"/>
      <c r="D35" s="760">
        <f t="shared" si="2"/>
        <v>0</v>
      </c>
      <c r="E35" s="761"/>
      <c r="F35" s="761"/>
      <c r="G35" s="760">
        <f t="shared" si="3"/>
        <v>0</v>
      </c>
      <c r="H35" s="761"/>
      <c r="I35" s="761"/>
      <c r="J35" s="760">
        <f t="shared" si="4"/>
        <v>0</v>
      </c>
      <c r="K35" s="761"/>
      <c r="L35" s="760">
        <f t="shared" si="5"/>
        <v>0</v>
      </c>
      <c r="M35" s="760">
        <f t="shared" si="11"/>
        <v>0</v>
      </c>
      <c r="N35" s="760">
        <f t="shared" si="7"/>
        <v>0</v>
      </c>
      <c r="O35" s="683" t="e">
        <f t="shared" si="8"/>
        <v>#DIV/0!</v>
      </c>
    </row>
    <row r="36" spans="1:15" s="698" customFormat="1" ht="21" customHeight="1">
      <c r="A36" s="813" t="s">
        <v>285</v>
      </c>
      <c r="B36" s="681" t="s">
        <v>69</v>
      </c>
      <c r="C36" s="881">
        <v>20000000</v>
      </c>
      <c r="D36" s="760">
        <f t="shared" si="2"/>
        <v>20000000</v>
      </c>
      <c r="E36" s="881">
        <v>7985343</v>
      </c>
      <c r="F36" s="816">
        <v>145000</v>
      </c>
      <c r="G36" s="760">
        <f t="shared" si="3"/>
        <v>145000</v>
      </c>
      <c r="H36" s="760"/>
      <c r="I36" s="816">
        <v>0</v>
      </c>
      <c r="J36" s="760">
        <v>600000</v>
      </c>
      <c r="K36" s="816">
        <v>1451051</v>
      </c>
      <c r="L36" s="760">
        <f t="shared" si="5"/>
        <v>20145000</v>
      </c>
      <c r="M36" s="760">
        <f t="shared" si="11"/>
        <v>20745000</v>
      </c>
      <c r="N36" s="760">
        <f t="shared" si="7"/>
        <v>9436394</v>
      </c>
      <c r="O36" s="880">
        <f t="shared" si="8"/>
        <v>0.45487558447818749</v>
      </c>
    </row>
    <row r="37" spans="1:15" ht="21" hidden="1" customHeight="1">
      <c r="A37" s="680" t="s">
        <v>286</v>
      </c>
      <c r="B37" s="681" t="s">
        <v>72</v>
      </c>
      <c r="C37" s="762"/>
      <c r="D37" s="760">
        <f t="shared" si="2"/>
        <v>0</v>
      </c>
      <c r="E37" s="762"/>
      <c r="F37" s="762"/>
      <c r="G37" s="760">
        <f t="shared" si="3"/>
        <v>0</v>
      </c>
      <c r="H37" s="762"/>
      <c r="I37" s="762"/>
      <c r="J37" s="760">
        <f t="shared" si="4"/>
        <v>0</v>
      </c>
      <c r="K37" s="762"/>
      <c r="L37" s="760">
        <f t="shared" si="5"/>
        <v>0</v>
      </c>
      <c r="M37" s="760">
        <f t="shared" si="11"/>
        <v>0</v>
      </c>
      <c r="N37" s="760">
        <f t="shared" si="7"/>
        <v>0</v>
      </c>
      <c r="O37" s="683" t="e">
        <f t="shared" si="8"/>
        <v>#DIV/0!</v>
      </c>
    </row>
    <row r="38" spans="1:15" ht="31.5">
      <c r="A38" s="680" t="s">
        <v>152</v>
      </c>
      <c r="B38" s="681" t="s">
        <v>73</v>
      </c>
      <c r="C38" s="762">
        <v>200000</v>
      </c>
      <c r="D38" s="760">
        <f t="shared" si="2"/>
        <v>200000</v>
      </c>
      <c r="E38" s="762">
        <v>0</v>
      </c>
      <c r="F38" s="762">
        <v>0</v>
      </c>
      <c r="G38" s="760">
        <f t="shared" si="3"/>
        <v>0</v>
      </c>
      <c r="H38" s="762"/>
      <c r="I38" s="762">
        <v>0</v>
      </c>
      <c r="J38" s="760">
        <f t="shared" si="4"/>
        <v>0</v>
      </c>
      <c r="K38" s="762"/>
      <c r="L38" s="760">
        <f t="shared" si="5"/>
        <v>200000</v>
      </c>
      <c r="M38" s="760">
        <f t="shared" si="11"/>
        <v>200000</v>
      </c>
      <c r="N38" s="760">
        <f t="shared" si="7"/>
        <v>0</v>
      </c>
      <c r="O38" s="683">
        <f t="shared" si="8"/>
        <v>0</v>
      </c>
    </row>
    <row r="39" spans="1:15" ht="21" hidden="1" customHeight="1">
      <c r="A39" s="680" t="s">
        <v>74</v>
      </c>
      <c r="B39" s="681" t="s">
        <v>75</v>
      </c>
      <c r="C39" s="762"/>
      <c r="D39" s="760">
        <f t="shared" si="2"/>
        <v>0</v>
      </c>
      <c r="E39" s="762"/>
      <c r="F39" s="762"/>
      <c r="G39" s="760">
        <f t="shared" si="3"/>
        <v>0</v>
      </c>
      <c r="H39" s="762"/>
      <c r="I39" s="762"/>
      <c r="J39" s="760">
        <f t="shared" si="4"/>
        <v>0</v>
      </c>
      <c r="K39" s="762"/>
      <c r="L39" s="760">
        <f t="shared" si="5"/>
        <v>0</v>
      </c>
      <c r="M39" s="760">
        <f t="shared" si="11"/>
        <v>0</v>
      </c>
      <c r="N39" s="760">
        <f t="shared" si="7"/>
        <v>0</v>
      </c>
      <c r="O39" s="683" t="e">
        <f t="shared" si="8"/>
        <v>#DIV/0!</v>
      </c>
    </row>
    <row r="40" spans="1:15" ht="21" hidden="1" customHeight="1">
      <c r="A40" s="680" t="s">
        <v>287</v>
      </c>
      <c r="B40" s="681" t="s">
        <v>77</v>
      </c>
      <c r="C40" s="760">
        <f t="shared" ref="C40:F40" si="12">SUM(C41:C43)</f>
        <v>0</v>
      </c>
      <c r="D40" s="760">
        <f t="shared" si="2"/>
        <v>0</v>
      </c>
      <c r="E40" s="760"/>
      <c r="F40" s="760">
        <f t="shared" si="12"/>
        <v>0</v>
      </c>
      <c r="G40" s="760">
        <f t="shared" si="3"/>
        <v>0</v>
      </c>
      <c r="H40" s="760"/>
      <c r="I40" s="760"/>
      <c r="J40" s="760">
        <f t="shared" si="4"/>
        <v>0</v>
      </c>
      <c r="K40" s="760"/>
      <c r="L40" s="760">
        <f t="shared" si="5"/>
        <v>0</v>
      </c>
      <c r="M40" s="760">
        <f t="shared" si="11"/>
        <v>0</v>
      </c>
      <c r="N40" s="760">
        <f t="shared" si="7"/>
        <v>0</v>
      </c>
      <c r="O40" s="683" t="e">
        <f t="shared" si="8"/>
        <v>#DIV/0!</v>
      </c>
    </row>
    <row r="41" spans="1:15" ht="21" hidden="1" customHeight="1">
      <c r="A41" s="756" t="s">
        <v>78</v>
      </c>
      <c r="B41" s="686"/>
      <c r="C41" s="761"/>
      <c r="D41" s="760">
        <f t="shared" si="2"/>
        <v>0</v>
      </c>
      <c r="E41" s="761"/>
      <c r="F41" s="761"/>
      <c r="G41" s="760">
        <f t="shared" si="3"/>
        <v>0</v>
      </c>
      <c r="H41" s="761"/>
      <c r="I41" s="761"/>
      <c r="J41" s="760">
        <f t="shared" si="4"/>
        <v>0</v>
      </c>
      <c r="K41" s="761"/>
      <c r="L41" s="760">
        <f t="shared" si="5"/>
        <v>0</v>
      </c>
      <c r="M41" s="760">
        <f t="shared" si="11"/>
        <v>0</v>
      </c>
      <c r="N41" s="760">
        <f t="shared" si="7"/>
        <v>0</v>
      </c>
      <c r="O41" s="683" t="e">
        <f t="shared" si="8"/>
        <v>#DIV/0!</v>
      </c>
    </row>
    <row r="42" spans="1:15" ht="21" hidden="1" customHeight="1">
      <c r="A42" s="756" t="s">
        <v>79</v>
      </c>
      <c r="B42" s="686"/>
      <c r="C42" s="761"/>
      <c r="D42" s="760">
        <f t="shared" si="2"/>
        <v>0</v>
      </c>
      <c r="E42" s="761"/>
      <c r="F42" s="761"/>
      <c r="G42" s="760">
        <f t="shared" si="3"/>
        <v>0</v>
      </c>
      <c r="H42" s="761"/>
      <c r="I42" s="761"/>
      <c r="J42" s="760">
        <f t="shared" si="4"/>
        <v>0</v>
      </c>
      <c r="K42" s="761"/>
      <c r="L42" s="760">
        <f t="shared" si="5"/>
        <v>0</v>
      </c>
      <c r="M42" s="760">
        <f t="shared" si="11"/>
        <v>0</v>
      </c>
      <c r="N42" s="760">
        <f t="shared" si="7"/>
        <v>0</v>
      </c>
      <c r="O42" s="683" t="e">
        <f t="shared" si="8"/>
        <v>#DIV/0!</v>
      </c>
    </row>
    <row r="43" spans="1:15" ht="21" hidden="1" customHeight="1">
      <c r="A43" s="756" t="s">
        <v>288</v>
      </c>
      <c r="B43" s="686"/>
      <c r="C43" s="761"/>
      <c r="D43" s="760">
        <f t="shared" si="2"/>
        <v>0</v>
      </c>
      <c r="E43" s="761"/>
      <c r="F43" s="761"/>
      <c r="G43" s="760">
        <f t="shared" si="3"/>
        <v>0</v>
      </c>
      <c r="H43" s="761"/>
      <c r="I43" s="761"/>
      <c r="J43" s="760">
        <f t="shared" si="4"/>
        <v>0</v>
      </c>
      <c r="K43" s="761"/>
      <c r="L43" s="760">
        <f t="shared" si="5"/>
        <v>0</v>
      </c>
      <c r="M43" s="760">
        <f t="shared" si="11"/>
        <v>0</v>
      </c>
      <c r="N43" s="760">
        <f t="shared" si="7"/>
        <v>0</v>
      </c>
      <c r="O43" s="683" t="e">
        <f t="shared" si="8"/>
        <v>#DIV/0!</v>
      </c>
    </row>
    <row r="44" spans="1:15" ht="21" customHeight="1">
      <c r="A44" s="680" t="s">
        <v>289</v>
      </c>
      <c r="B44" s="681" t="s">
        <v>81</v>
      </c>
      <c r="C44" s="760">
        <f>SUM(C45:C50)</f>
        <v>0</v>
      </c>
      <c r="D44" s="760">
        <f t="shared" si="2"/>
        <v>0</v>
      </c>
      <c r="E44" s="760">
        <v>0</v>
      </c>
      <c r="F44" s="762">
        <v>0</v>
      </c>
      <c r="G44" s="760">
        <f t="shared" si="3"/>
        <v>0</v>
      </c>
      <c r="H44" s="762"/>
      <c r="I44" s="762">
        <v>0</v>
      </c>
      <c r="J44" s="760">
        <f t="shared" si="4"/>
        <v>0</v>
      </c>
      <c r="K44" s="762"/>
      <c r="L44" s="760">
        <f t="shared" si="5"/>
        <v>0</v>
      </c>
      <c r="M44" s="760">
        <f t="shared" si="11"/>
        <v>0</v>
      </c>
      <c r="N44" s="760">
        <f t="shared" si="7"/>
        <v>0</v>
      </c>
      <c r="O44" s="683" t="e">
        <f t="shared" si="8"/>
        <v>#DIV/0!</v>
      </c>
    </row>
    <row r="45" spans="1:15" ht="21" hidden="1" customHeight="1">
      <c r="A45" s="756" t="s">
        <v>290</v>
      </c>
      <c r="B45" s="725"/>
      <c r="C45" s="761"/>
      <c r="D45" s="760">
        <f t="shared" si="2"/>
        <v>0</v>
      </c>
      <c r="E45" s="761"/>
      <c r="F45" s="761"/>
      <c r="G45" s="760">
        <f t="shared" si="3"/>
        <v>0</v>
      </c>
      <c r="H45" s="761"/>
      <c r="I45" s="761"/>
      <c r="J45" s="760">
        <f t="shared" si="4"/>
        <v>0</v>
      </c>
      <c r="K45" s="761"/>
      <c r="L45" s="760">
        <f t="shared" si="5"/>
        <v>0</v>
      </c>
      <c r="M45" s="760">
        <f t="shared" si="11"/>
        <v>0</v>
      </c>
      <c r="N45" s="760">
        <f t="shared" si="7"/>
        <v>0</v>
      </c>
      <c r="O45" s="683" t="e">
        <f t="shared" si="8"/>
        <v>#DIV/0!</v>
      </c>
    </row>
    <row r="46" spans="1:15" ht="21" hidden="1" customHeight="1">
      <c r="A46" s="756" t="s">
        <v>291</v>
      </c>
      <c r="B46" s="725"/>
      <c r="C46" s="761"/>
      <c r="D46" s="760">
        <f t="shared" si="2"/>
        <v>0</v>
      </c>
      <c r="E46" s="761"/>
      <c r="F46" s="761"/>
      <c r="G46" s="760">
        <f t="shared" si="3"/>
        <v>0</v>
      </c>
      <c r="H46" s="761"/>
      <c r="I46" s="761"/>
      <c r="J46" s="760">
        <f t="shared" si="4"/>
        <v>0</v>
      </c>
      <c r="K46" s="761"/>
      <c r="L46" s="760">
        <f t="shared" si="5"/>
        <v>0</v>
      </c>
      <c r="M46" s="760">
        <f t="shared" ref="M46:M61" si="13">SUM(D46,G46,J46)</f>
        <v>0</v>
      </c>
      <c r="N46" s="760">
        <f t="shared" si="7"/>
        <v>0</v>
      </c>
      <c r="O46" s="683" t="e">
        <f t="shared" si="8"/>
        <v>#DIV/0!</v>
      </c>
    </row>
    <row r="47" spans="1:15" ht="21" hidden="1" customHeight="1">
      <c r="A47" s="756" t="s">
        <v>292</v>
      </c>
      <c r="B47" s="725"/>
      <c r="C47" s="761"/>
      <c r="D47" s="760">
        <f t="shared" si="2"/>
        <v>0</v>
      </c>
      <c r="E47" s="761"/>
      <c r="F47" s="761"/>
      <c r="G47" s="760">
        <f t="shared" si="3"/>
        <v>0</v>
      </c>
      <c r="H47" s="761"/>
      <c r="I47" s="761"/>
      <c r="J47" s="760">
        <f t="shared" si="4"/>
        <v>0</v>
      </c>
      <c r="K47" s="761"/>
      <c r="L47" s="760">
        <f t="shared" si="5"/>
        <v>0</v>
      </c>
      <c r="M47" s="760">
        <f t="shared" si="13"/>
        <v>0</v>
      </c>
      <c r="N47" s="760">
        <f t="shared" si="7"/>
        <v>0</v>
      </c>
      <c r="O47" s="683" t="e">
        <f t="shared" si="8"/>
        <v>#DIV/0!</v>
      </c>
    </row>
    <row r="48" spans="1:15" ht="21" hidden="1" customHeight="1">
      <c r="A48" s="756" t="s">
        <v>293</v>
      </c>
      <c r="B48" s="725"/>
      <c r="C48" s="761"/>
      <c r="D48" s="760">
        <f t="shared" si="2"/>
        <v>0</v>
      </c>
      <c r="E48" s="761"/>
      <c r="F48" s="761"/>
      <c r="G48" s="760">
        <f t="shared" si="3"/>
        <v>0</v>
      </c>
      <c r="H48" s="761"/>
      <c r="I48" s="761"/>
      <c r="J48" s="760">
        <f t="shared" si="4"/>
        <v>0</v>
      </c>
      <c r="K48" s="761"/>
      <c r="L48" s="760">
        <f t="shared" si="5"/>
        <v>0</v>
      </c>
      <c r="M48" s="760">
        <f t="shared" si="13"/>
        <v>0</v>
      </c>
      <c r="N48" s="760">
        <f t="shared" si="7"/>
        <v>0</v>
      </c>
      <c r="O48" s="683" t="e">
        <f t="shared" si="8"/>
        <v>#DIV/0!</v>
      </c>
    </row>
    <row r="49" spans="1:15" ht="21" hidden="1" customHeight="1">
      <c r="A49" s="756" t="s">
        <v>294</v>
      </c>
      <c r="B49" s="725"/>
      <c r="C49" s="761"/>
      <c r="D49" s="760">
        <f t="shared" si="2"/>
        <v>0</v>
      </c>
      <c r="E49" s="761"/>
      <c r="F49" s="761"/>
      <c r="G49" s="760">
        <f t="shared" si="3"/>
        <v>0</v>
      </c>
      <c r="H49" s="761"/>
      <c r="I49" s="761"/>
      <c r="J49" s="760">
        <f t="shared" si="4"/>
        <v>0</v>
      </c>
      <c r="K49" s="761"/>
      <c r="L49" s="760">
        <f t="shared" si="5"/>
        <v>0</v>
      </c>
      <c r="M49" s="760">
        <f t="shared" si="13"/>
        <v>0</v>
      </c>
      <c r="N49" s="760">
        <f t="shared" si="7"/>
        <v>0</v>
      </c>
      <c r="O49" s="683" t="e">
        <f t="shared" si="8"/>
        <v>#DIV/0!</v>
      </c>
    </row>
    <row r="50" spans="1:15" ht="21" hidden="1" customHeight="1">
      <c r="A50" s="756" t="s">
        <v>295</v>
      </c>
      <c r="B50" s="725"/>
      <c r="C50" s="761"/>
      <c r="D50" s="760">
        <f t="shared" si="2"/>
        <v>0</v>
      </c>
      <c r="E50" s="761"/>
      <c r="F50" s="761"/>
      <c r="G50" s="760">
        <f t="shared" si="3"/>
        <v>0</v>
      </c>
      <c r="H50" s="761"/>
      <c r="I50" s="761"/>
      <c r="J50" s="760">
        <f t="shared" si="4"/>
        <v>0</v>
      </c>
      <c r="K50" s="761"/>
      <c r="L50" s="760">
        <f t="shared" si="5"/>
        <v>0</v>
      </c>
      <c r="M50" s="760">
        <f t="shared" si="13"/>
        <v>0</v>
      </c>
      <c r="N50" s="760">
        <f t="shared" si="7"/>
        <v>0</v>
      </c>
      <c r="O50" s="683" t="e">
        <f t="shared" si="8"/>
        <v>#DIV/0!</v>
      </c>
    </row>
    <row r="51" spans="1:15" ht="21" hidden="1" customHeight="1">
      <c r="A51" s="758" t="s">
        <v>476</v>
      </c>
      <c r="B51" s="725"/>
      <c r="C51" s="761"/>
      <c r="D51" s="760">
        <f t="shared" si="2"/>
        <v>0</v>
      </c>
      <c r="E51" s="761"/>
      <c r="F51" s="761"/>
      <c r="G51" s="760">
        <f t="shared" si="3"/>
        <v>0</v>
      </c>
      <c r="H51" s="761"/>
      <c r="I51" s="761"/>
      <c r="J51" s="760">
        <f t="shared" si="4"/>
        <v>0</v>
      </c>
      <c r="K51" s="761"/>
      <c r="L51" s="760">
        <f t="shared" si="5"/>
        <v>0</v>
      </c>
      <c r="M51" s="760">
        <f t="shared" si="13"/>
        <v>0</v>
      </c>
      <c r="N51" s="760">
        <f t="shared" si="7"/>
        <v>0</v>
      </c>
      <c r="O51" s="683" t="e">
        <f t="shared" si="8"/>
        <v>#DIV/0!</v>
      </c>
    </row>
    <row r="52" spans="1:15" ht="21" hidden="1" customHeight="1">
      <c r="A52" s="758" t="s">
        <v>647</v>
      </c>
      <c r="B52" s="725"/>
      <c r="C52" s="761"/>
      <c r="D52" s="760">
        <f t="shared" si="2"/>
        <v>0</v>
      </c>
      <c r="E52" s="761"/>
      <c r="F52" s="761"/>
      <c r="G52" s="760">
        <f t="shared" si="3"/>
        <v>0</v>
      </c>
      <c r="H52" s="761"/>
      <c r="I52" s="761"/>
      <c r="J52" s="760">
        <f t="shared" si="4"/>
        <v>0</v>
      </c>
      <c r="K52" s="761"/>
      <c r="L52" s="760">
        <f t="shared" si="5"/>
        <v>0</v>
      </c>
      <c r="M52" s="760">
        <f t="shared" si="13"/>
        <v>0</v>
      </c>
      <c r="N52" s="760">
        <f t="shared" si="7"/>
        <v>0</v>
      </c>
      <c r="O52" s="683" t="e">
        <f t="shared" si="8"/>
        <v>#DIV/0!</v>
      </c>
    </row>
    <row r="53" spans="1:15" ht="21" hidden="1" customHeight="1">
      <c r="A53" s="758" t="s">
        <v>478</v>
      </c>
      <c r="B53" s="725"/>
      <c r="C53" s="761"/>
      <c r="D53" s="760">
        <f t="shared" si="2"/>
        <v>0</v>
      </c>
      <c r="E53" s="761"/>
      <c r="F53" s="761"/>
      <c r="G53" s="760">
        <f t="shared" si="3"/>
        <v>0</v>
      </c>
      <c r="H53" s="761"/>
      <c r="I53" s="761"/>
      <c r="J53" s="760">
        <f t="shared" si="4"/>
        <v>0</v>
      </c>
      <c r="K53" s="761"/>
      <c r="L53" s="760">
        <f t="shared" si="5"/>
        <v>0</v>
      </c>
      <c r="M53" s="760">
        <f t="shared" si="13"/>
        <v>0</v>
      </c>
      <c r="N53" s="760">
        <f t="shared" si="7"/>
        <v>0</v>
      </c>
      <c r="O53" s="683" t="e">
        <f t="shared" si="8"/>
        <v>#DIV/0!</v>
      </c>
    </row>
    <row r="54" spans="1:15" ht="21" hidden="1" customHeight="1">
      <c r="A54" s="758" t="s">
        <v>479</v>
      </c>
      <c r="B54" s="725"/>
      <c r="C54" s="761"/>
      <c r="D54" s="760">
        <f t="shared" si="2"/>
        <v>0</v>
      </c>
      <c r="E54" s="761"/>
      <c r="F54" s="761"/>
      <c r="G54" s="760">
        <f t="shared" si="3"/>
        <v>0</v>
      </c>
      <c r="H54" s="761"/>
      <c r="I54" s="761"/>
      <c r="J54" s="760">
        <f t="shared" si="4"/>
        <v>0</v>
      </c>
      <c r="K54" s="761"/>
      <c r="L54" s="760">
        <f t="shared" si="5"/>
        <v>0</v>
      </c>
      <c r="M54" s="760">
        <f t="shared" si="13"/>
        <v>0</v>
      </c>
      <c r="N54" s="760">
        <f t="shared" si="7"/>
        <v>0</v>
      </c>
      <c r="O54" s="683" t="e">
        <f t="shared" si="8"/>
        <v>#DIV/0!</v>
      </c>
    </row>
    <row r="55" spans="1:15" ht="21" customHeight="1">
      <c r="A55" s="680" t="s">
        <v>87</v>
      </c>
      <c r="B55" s="681" t="s">
        <v>88</v>
      </c>
      <c r="C55" s="760">
        <f>SUM(C32,C36:C40,C44)</f>
        <v>20200000</v>
      </c>
      <c r="D55" s="760">
        <f>SUM(D32,D36:D40,D44)</f>
        <v>20200000</v>
      </c>
      <c r="E55" s="760">
        <f>SUM(E32,E36:E40,E44)</f>
        <v>7985343</v>
      </c>
      <c r="F55" s="760">
        <f>SUM(F32,F36:F40,F44)</f>
        <v>145000</v>
      </c>
      <c r="G55" s="760">
        <f t="shared" ref="G55:H55" si="14">SUM(G32,G36:G40,G44)</f>
        <v>145000</v>
      </c>
      <c r="H55" s="760">
        <f t="shared" si="14"/>
        <v>0</v>
      </c>
      <c r="I55" s="760">
        <f>I36+I38+I44</f>
        <v>0</v>
      </c>
      <c r="J55" s="760">
        <f>J36+J38+J44</f>
        <v>600000</v>
      </c>
      <c r="K55" s="760">
        <f>K36+K38+K44</f>
        <v>1451051</v>
      </c>
      <c r="L55" s="760">
        <f t="shared" si="5"/>
        <v>20345000</v>
      </c>
      <c r="M55" s="760">
        <f t="shared" si="13"/>
        <v>20945000</v>
      </c>
      <c r="N55" s="760">
        <f t="shared" si="7"/>
        <v>9436394</v>
      </c>
      <c r="O55" s="683">
        <f t="shared" si="8"/>
        <v>0.45053206015755548</v>
      </c>
    </row>
    <row r="56" spans="1:15" hidden="1">
      <c r="A56" s="685" t="s">
        <v>296</v>
      </c>
      <c r="B56" s="686" t="s">
        <v>90</v>
      </c>
      <c r="C56" s="761"/>
      <c r="D56" s="760">
        <f t="shared" si="2"/>
        <v>0</v>
      </c>
      <c r="E56" s="761"/>
      <c r="F56" s="761"/>
      <c r="G56" s="760">
        <f t="shared" si="3"/>
        <v>0</v>
      </c>
      <c r="H56" s="761"/>
      <c r="I56" s="761"/>
      <c r="J56" s="760">
        <f t="shared" si="4"/>
        <v>0</v>
      </c>
      <c r="K56" s="761"/>
      <c r="L56" s="760">
        <f t="shared" si="5"/>
        <v>0</v>
      </c>
      <c r="M56" s="760">
        <f t="shared" si="13"/>
        <v>0</v>
      </c>
      <c r="N56" s="760">
        <f t="shared" si="7"/>
        <v>0</v>
      </c>
      <c r="O56" s="683" t="e">
        <f t="shared" si="8"/>
        <v>#DIV/0!</v>
      </c>
    </row>
    <row r="57" spans="1:15" ht="31.5" hidden="1">
      <c r="A57" s="685" t="s">
        <v>297</v>
      </c>
      <c r="B57" s="686" t="s">
        <v>92</v>
      </c>
      <c r="C57" s="761"/>
      <c r="D57" s="760">
        <f t="shared" si="2"/>
        <v>0</v>
      </c>
      <c r="E57" s="761"/>
      <c r="F57" s="761"/>
      <c r="G57" s="760">
        <f t="shared" si="3"/>
        <v>0</v>
      </c>
      <c r="H57" s="761"/>
      <c r="I57" s="761"/>
      <c r="J57" s="760">
        <f t="shared" si="4"/>
        <v>0</v>
      </c>
      <c r="K57" s="761"/>
      <c r="L57" s="760">
        <f t="shared" si="5"/>
        <v>0</v>
      </c>
      <c r="M57" s="760">
        <f t="shared" si="13"/>
        <v>0</v>
      </c>
      <c r="N57" s="760">
        <f t="shared" si="7"/>
        <v>0</v>
      </c>
      <c r="O57" s="683" t="e">
        <f t="shared" si="8"/>
        <v>#DIV/0!</v>
      </c>
    </row>
    <row r="58" spans="1:15" ht="31.5" hidden="1">
      <c r="A58" s="680" t="s">
        <v>93</v>
      </c>
      <c r="B58" s="681" t="s">
        <v>94</v>
      </c>
      <c r="C58" s="760">
        <f>SUM(C56:C57)</f>
        <v>0</v>
      </c>
      <c r="D58" s="760">
        <f t="shared" si="2"/>
        <v>0</v>
      </c>
      <c r="E58" s="760"/>
      <c r="F58" s="760">
        <f>SUM(F56:F57)</f>
        <v>0</v>
      </c>
      <c r="G58" s="760">
        <f t="shared" si="3"/>
        <v>0</v>
      </c>
      <c r="H58" s="760"/>
      <c r="I58" s="760"/>
      <c r="J58" s="760">
        <f t="shared" si="4"/>
        <v>0</v>
      </c>
      <c r="K58" s="760"/>
      <c r="L58" s="760">
        <f t="shared" si="5"/>
        <v>0</v>
      </c>
      <c r="M58" s="760">
        <f t="shared" si="13"/>
        <v>0</v>
      </c>
      <c r="N58" s="760">
        <f t="shared" si="7"/>
        <v>0</v>
      </c>
      <c r="O58" s="683" t="e">
        <f t="shared" si="8"/>
        <v>#DIV/0!</v>
      </c>
    </row>
    <row r="59" spans="1:15" ht="47.25">
      <c r="A59" s="680" t="s">
        <v>298</v>
      </c>
      <c r="B59" s="681" t="s">
        <v>96</v>
      </c>
      <c r="C59" s="760">
        <f>SUM(C60:C61)</f>
        <v>5454000</v>
      </c>
      <c r="D59" s="760">
        <f>SUM(D60:D61)</f>
        <v>5454000</v>
      </c>
      <c r="E59" s="760">
        <f>SUM(E60:E61)</f>
        <v>2156043</v>
      </c>
      <c r="F59" s="760">
        <f t="shared" ref="F59:K59" si="15">SUM(F60:F61)</f>
        <v>39150</v>
      </c>
      <c r="G59" s="760">
        <f t="shared" si="15"/>
        <v>39150</v>
      </c>
      <c r="H59" s="760">
        <f t="shared" si="15"/>
        <v>0</v>
      </c>
      <c r="I59" s="760">
        <f t="shared" si="15"/>
        <v>67500</v>
      </c>
      <c r="J59" s="760">
        <f t="shared" si="4"/>
        <v>67500</v>
      </c>
      <c r="K59" s="760">
        <f t="shared" si="15"/>
        <v>391783</v>
      </c>
      <c r="L59" s="760">
        <f t="shared" si="5"/>
        <v>5560650</v>
      </c>
      <c r="M59" s="760">
        <f t="shared" si="13"/>
        <v>5560650</v>
      </c>
      <c r="N59" s="760">
        <f t="shared" si="7"/>
        <v>2547826</v>
      </c>
      <c r="O59" s="683">
        <f t="shared" si="8"/>
        <v>0.45818852112612735</v>
      </c>
    </row>
    <row r="60" spans="1:15">
      <c r="A60" s="756" t="s">
        <v>299</v>
      </c>
      <c r="B60" s="686"/>
      <c r="C60" s="761">
        <v>0</v>
      </c>
      <c r="D60" s="780">
        <f t="shared" si="2"/>
        <v>0</v>
      </c>
      <c r="E60" s="761">
        <v>0</v>
      </c>
      <c r="F60" s="761"/>
      <c r="G60" s="760"/>
      <c r="H60" s="761"/>
      <c r="I60" s="761"/>
      <c r="J60" s="760"/>
      <c r="K60" s="761"/>
      <c r="L60" s="760">
        <f t="shared" si="5"/>
        <v>0</v>
      </c>
      <c r="M60" s="760">
        <f t="shared" si="13"/>
        <v>0</v>
      </c>
      <c r="N60" s="760">
        <f t="shared" si="7"/>
        <v>0</v>
      </c>
      <c r="O60" s="683" t="e">
        <f t="shared" si="8"/>
        <v>#DIV/0!</v>
      </c>
    </row>
    <row r="61" spans="1:15">
      <c r="A61" s="756" t="s">
        <v>300</v>
      </c>
      <c r="B61" s="686"/>
      <c r="C61" s="761">
        <v>5454000</v>
      </c>
      <c r="D61" s="780">
        <f t="shared" si="2"/>
        <v>5454000</v>
      </c>
      <c r="E61" s="761">
        <v>2156043</v>
      </c>
      <c r="F61" s="761">
        <v>39150</v>
      </c>
      <c r="G61" s="780">
        <f t="shared" si="3"/>
        <v>39150</v>
      </c>
      <c r="H61" s="761"/>
      <c r="I61" s="761">
        <v>67500</v>
      </c>
      <c r="J61" s="780">
        <f t="shared" si="4"/>
        <v>67500</v>
      </c>
      <c r="K61" s="761">
        <v>391783</v>
      </c>
      <c r="L61" s="760">
        <f>SUM(C61,F61,I61)</f>
        <v>5560650</v>
      </c>
      <c r="M61" s="760">
        <f t="shared" si="13"/>
        <v>5560650</v>
      </c>
      <c r="N61" s="760">
        <f t="shared" si="7"/>
        <v>2547826</v>
      </c>
      <c r="O61" s="683">
        <f t="shared" si="8"/>
        <v>0.45818852112612735</v>
      </c>
    </row>
    <row r="62" spans="1:15" ht="31.5">
      <c r="A62" s="680" t="s">
        <v>301</v>
      </c>
      <c r="B62" s="681" t="s">
        <v>98</v>
      </c>
      <c r="C62" s="762">
        <v>0</v>
      </c>
      <c r="D62" s="760">
        <f t="shared" si="2"/>
        <v>0</v>
      </c>
      <c r="E62" s="762"/>
      <c r="F62" s="762">
        <v>0</v>
      </c>
      <c r="G62" s="760">
        <f t="shared" si="3"/>
        <v>0</v>
      </c>
      <c r="H62" s="762"/>
      <c r="I62" s="762">
        <v>0</v>
      </c>
      <c r="J62" s="760">
        <f t="shared" si="4"/>
        <v>0</v>
      </c>
      <c r="K62" s="762"/>
      <c r="L62" s="760">
        <f t="shared" si="5"/>
        <v>0</v>
      </c>
      <c r="M62" s="760">
        <f t="shared" ref="M62:M67" si="16">SUM(D62,G62,)</f>
        <v>0</v>
      </c>
      <c r="N62" s="760">
        <f t="shared" si="7"/>
        <v>0</v>
      </c>
      <c r="O62" s="683" t="e">
        <f t="shared" si="8"/>
        <v>#DIV/0!</v>
      </c>
    </row>
    <row r="63" spans="1:15">
      <c r="A63" s="680" t="s">
        <v>99</v>
      </c>
      <c r="B63" s="681" t="s">
        <v>100</v>
      </c>
      <c r="C63" s="762">
        <v>0</v>
      </c>
      <c r="D63" s="760">
        <f t="shared" si="2"/>
        <v>0</v>
      </c>
      <c r="E63" s="762"/>
      <c r="F63" s="762">
        <v>0</v>
      </c>
      <c r="G63" s="760">
        <f t="shared" si="3"/>
        <v>0</v>
      </c>
      <c r="H63" s="762"/>
      <c r="I63" s="762">
        <v>0</v>
      </c>
      <c r="J63" s="760">
        <f t="shared" si="4"/>
        <v>0</v>
      </c>
      <c r="K63" s="762"/>
      <c r="L63" s="760">
        <f t="shared" si="5"/>
        <v>0</v>
      </c>
      <c r="M63" s="760">
        <f t="shared" si="16"/>
        <v>0</v>
      </c>
      <c r="N63" s="760">
        <f t="shared" si="7"/>
        <v>0</v>
      </c>
      <c r="O63" s="683" t="e">
        <f t="shared" si="8"/>
        <v>#DIV/0!</v>
      </c>
    </row>
    <row r="64" spans="1:15">
      <c r="A64" s="680" t="s">
        <v>302</v>
      </c>
      <c r="B64" s="681" t="s">
        <v>104</v>
      </c>
      <c r="C64" s="760">
        <f>SUM(C65:C67)</f>
        <v>0</v>
      </c>
      <c r="D64" s="760">
        <f t="shared" si="2"/>
        <v>0</v>
      </c>
      <c r="E64" s="760"/>
      <c r="F64" s="760">
        <f>SUM(F65:F67)</f>
        <v>0</v>
      </c>
      <c r="G64" s="760">
        <f t="shared" si="3"/>
        <v>0</v>
      </c>
      <c r="H64" s="760"/>
      <c r="I64" s="760">
        <v>0</v>
      </c>
      <c r="J64" s="760">
        <f t="shared" si="4"/>
        <v>0</v>
      </c>
      <c r="K64" s="760"/>
      <c r="L64" s="760">
        <f t="shared" si="5"/>
        <v>0</v>
      </c>
      <c r="M64" s="760">
        <f t="shared" si="16"/>
        <v>0</v>
      </c>
      <c r="N64" s="760">
        <f t="shared" si="7"/>
        <v>0</v>
      </c>
      <c r="O64" s="683" t="e">
        <f t="shared" si="8"/>
        <v>#DIV/0!</v>
      </c>
    </row>
    <row r="65" spans="1:15">
      <c r="A65" s="756" t="s">
        <v>303</v>
      </c>
      <c r="B65" s="686"/>
      <c r="C65" s="761"/>
      <c r="D65" s="760"/>
      <c r="E65" s="761"/>
      <c r="F65" s="761"/>
      <c r="G65" s="760"/>
      <c r="H65" s="761"/>
      <c r="I65" s="761"/>
      <c r="J65" s="760"/>
      <c r="K65" s="761"/>
      <c r="L65" s="760">
        <f t="shared" si="5"/>
        <v>0</v>
      </c>
      <c r="M65" s="760">
        <f t="shared" si="16"/>
        <v>0</v>
      </c>
      <c r="N65" s="760">
        <f t="shared" si="7"/>
        <v>0</v>
      </c>
      <c r="O65" s="683" t="e">
        <f t="shared" si="8"/>
        <v>#DIV/0!</v>
      </c>
    </row>
    <row r="66" spans="1:15" ht="31.5">
      <c r="A66" s="756" t="s">
        <v>304</v>
      </c>
      <c r="B66" s="686"/>
      <c r="C66" s="761"/>
      <c r="D66" s="760"/>
      <c r="E66" s="761"/>
      <c r="F66" s="761"/>
      <c r="G66" s="760"/>
      <c r="H66" s="761"/>
      <c r="I66" s="761"/>
      <c r="J66" s="760"/>
      <c r="K66" s="761"/>
      <c r="L66" s="760">
        <f t="shared" si="5"/>
        <v>0</v>
      </c>
      <c r="M66" s="760">
        <f t="shared" si="16"/>
        <v>0</v>
      </c>
      <c r="N66" s="760">
        <f t="shared" si="7"/>
        <v>0</v>
      </c>
      <c r="O66" s="683" t="e">
        <f t="shared" si="8"/>
        <v>#DIV/0!</v>
      </c>
    </row>
    <row r="67" spans="1:15">
      <c r="A67" s="756" t="s">
        <v>302</v>
      </c>
      <c r="B67" s="686"/>
      <c r="C67" s="761"/>
      <c r="D67" s="760"/>
      <c r="E67" s="761"/>
      <c r="F67" s="761"/>
      <c r="G67" s="760"/>
      <c r="H67" s="761"/>
      <c r="I67" s="761"/>
      <c r="J67" s="760"/>
      <c r="K67" s="761"/>
      <c r="L67" s="760">
        <f t="shared" si="5"/>
        <v>0</v>
      </c>
      <c r="M67" s="760">
        <f t="shared" si="16"/>
        <v>0</v>
      </c>
      <c r="N67" s="760">
        <f t="shared" si="7"/>
        <v>0</v>
      </c>
      <c r="O67" s="683" t="e">
        <f t="shared" si="8"/>
        <v>#DIV/0!</v>
      </c>
    </row>
    <row r="68" spans="1:15" ht="31.5">
      <c r="A68" s="680" t="s">
        <v>305</v>
      </c>
      <c r="B68" s="681" t="s">
        <v>110</v>
      </c>
      <c r="C68" s="760">
        <f t="shared" ref="C68:H68" si="17">SUM(C64,C59,C62,C63)</f>
        <v>5454000</v>
      </c>
      <c r="D68" s="760">
        <f t="shared" si="17"/>
        <v>5454000</v>
      </c>
      <c r="E68" s="760">
        <f t="shared" si="17"/>
        <v>2156043</v>
      </c>
      <c r="F68" s="760">
        <f t="shared" si="17"/>
        <v>39150</v>
      </c>
      <c r="G68" s="760">
        <f t="shared" si="17"/>
        <v>39150</v>
      </c>
      <c r="H68" s="760">
        <f t="shared" si="17"/>
        <v>0</v>
      </c>
      <c r="I68" s="760">
        <f>I59+I62+I63+I64</f>
        <v>67500</v>
      </c>
      <c r="J68" s="760">
        <f>J59+J62+J63+J64</f>
        <v>67500</v>
      </c>
      <c r="K68" s="760">
        <f>K59+K62+K63+K64</f>
        <v>391783</v>
      </c>
      <c r="L68" s="760">
        <f t="shared" si="5"/>
        <v>5560650</v>
      </c>
      <c r="M68" s="760">
        <f>SUM(M59,M62)</f>
        <v>5560650</v>
      </c>
      <c r="N68" s="760">
        <f t="shared" si="7"/>
        <v>2547826</v>
      </c>
      <c r="O68" s="683">
        <f t="shared" si="8"/>
        <v>0.45818852112612735</v>
      </c>
    </row>
    <row r="69" spans="1:15">
      <c r="A69" s="680" t="s">
        <v>306</v>
      </c>
      <c r="B69" s="681" t="s">
        <v>112</v>
      </c>
      <c r="C69" s="760">
        <f>SUM(C68,C58,C55,C31,C22)</f>
        <v>25654000</v>
      </c>
      <c r="D69" s="760">
        <f>SUM(D68,D58,D55,D31,D22)</f>
        <v>25654000</v>
      </c>
      <c r="E69" s="760">
        <f>SUM(E68,E58,E55,E31,E22,E14)</f>
        <v>10141386</v>
      </c>
      <c r="F69" s="760">
        <f t="shared" ref="F69:K69" si="18">SUM(F14,F36,F59,F38,F44)</f>
        <v>184150</v>
      </c>
      <c r="G69" s="760">
        <f t="shared" si="18"/>
        <v>184150</v>
      </c>
      <c r="H69" s="760">
        <f t="shared" si="18"/>
        <v>0</v>
      </c>
      <c r="I69" s="755">
        <f>I14+I55+I68</f>
        <v>317500</v>
      </c>
      <c r="J69" s="755">
        <f>J14+J55+J68</f>
        <v>917500</v>
      </c>
      <c r="K69" s="755">
        <f t="shared" si="18"/>
        <v>1842834</v>
      </c>
      <c r="L69" s="760">
        <f>SUM(C69,F69,I69)</f>
        <v>26155650</v>
      </c>
      <c r="M69" s="760">
        <f>SUM(M14,M55,M68)</f>
        <v>26755650</v>
      </c>
      <c r="N69" s="760">
        <f>SUM(E69,H69,K69)</f>
        <v>11984220</v>
      </c>
      <c r="O69" s="683">
        <f t="shared" si="8"/>
        <v>0.44791361824511833</v>
      </c>
    </row>
    <row r="70" spans="1:15">
      <c r="L70" s="676"/>
      <c r="M70" s="879"/>
    </row>
  </sheetData>
  <mergeCells count="8">
    <mergeCell ref="A3:L3"/>
    <mergeCell ref="A5:A7"/>
    <mergeCell ref="B5:B7"/>
    <mergeCell ref="F6:H6"/>
    <mergeCell ref="C6:E6"/>
    <mergeCell ref="L5:O6"/>
    <mergeCell ref="C5:K5"/>
    <mergeCell ref="I6:K6"/>
  </mergeCells>
  <pageMargins left="0.25" right="0.25" top="0.75" bottom="0.75" header="0.3" footer="0.3"/>
  <pageSetup paperSize="8" scale="7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  <pageSetUpPr fitToPage="1"/>
  </sheetPr>
  <dimension ref="A1:R67"/>
  <sheetViews>
    <sheetView view="pageBreakPreview" zoomScale="120" zoomScaleNormal="100" zoomScaleSheetLayoutView="12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M13" sqref="M13"/>
    </sheetView>
  </sheetViews>
  <sheetFormatPr defaultColWidth="8.7109375" defaultRowHeight="15"/>
  <cols>
    <col min="1" max="1" width="25.5703125" style="256" customWidth="1"/>
    <col min="2" max="2" width="16.140625" style="256" customWidth="1"/>
    <col min="3" max="4" width="13" style="324" customWidth="1"/>
    <col min="5" max="8" width="12.28515625" style="324" customWidth="1"/>
    <col min="9" max="10" width="12" style="324" customWidth="1"/>
    <col min="11" max="11" width="11.7109375" style="324" customWidth="1"/>
    <col min="12" max="13" width="10.5703125" style="324" bestFit="1" customWidth="1"/>
    <col min="14" max="14" width="10.140625" style="324" customWidth="1"/>
    <col min="15" max="15" width="14.7109375" style="324" customWidth="1"/>
    <col min="16" max="16" width="13.7109375" style="324" customWidth="1"/>
    <col min="17" max="17" width="13.5703125" style="324" customWidth="1"/>
    <col min="18" max="18" width="15.5703125" style="413" bestFit="1" customWidth="1"/>
    <col min="19" max="16384" width="8.7109375" style="256"/>
  </cols>
  <sheetData>
    <row r="1" spans="1:18">
      <c r="A1" s="256" t="s">
        <v>528</v>
      </c>
    </row>
    <row r="3" spans="1:18" ht="37.5" customHeight="1">
      <c r="A3" s="1277" t="s">
        <v>986</v>
      </c>
      <c r="B3" s="1277"/>
      <c r="C3" s="1277"/>
      <c r="D3" s="1277"/>
      <c r="E3" s="1277"/>
      <c r="F3" s="1277"/>
      <c r="G3" s="1277"/>
      <c r="H3" s="1277"/>
      <c r="I3" s="1277"/>
      <c r="J3" s="1277"/>
      <c r="K3" s="1277"/>
      <c r="L3" s="1277"/>
      <c r="M3" s="1277"/>
      <c r="N3" s="1277"/>
      <c r="O3" s="1277"/>
      <c r="P3" s="1277"/>
      <c r="Q3" s="1277"/>
      <c r="R3" s="1277"/>
    </row>
    <row r="4" spans="1:18" ht="15.75" thickBot="1"/>
    <row r="5" spans="1:18" ht="15" customHeight="1" thickBot="1">
      <c r="A5" s="1301" t="s">
        <v>2</v>
      </c>
      <c r="B5" s="1303" t="s">
        <v>3</v>
      </c>
      <c r="C5" s="1317" t="s">
        <v>248</v>
      </c>
      <c r="D5" s="1318"/>
      <c r="E5" s="1318"/>
      <c r="F5" s="1318"/>
      <c r="G5" s="1318"/>
      <c r="H5" s="1318"/>
      <c r="I5" s="1318"/>
      <c r="J5" s="1318"/>
      <c r="K5" s="1318"/>
      <c r="L5" s="1318"/>
      <c r="M5" s="1318"/>
      <c r="N5" s="1319"/>
      <c r="O5" s="1308" t="s">
        <v>249</v>
      </c>
      <c r="P5" s="1309"/>
      <c r="Q5" s="1309"/>
      <c r="R5" s="1310"/>
    </row>
    <row r="6" spans="1:18" ht="36.75" customHeight="1" thickBot="1">
      <c r="A6" s="1302"/>
      <c r="B6" s="1304"/>
      <c r="C6" s="1305" t="s">
        <v>719</v>
      </c>
      <c r="D6" s="1306"/>
      <c r="E6" s="1307"/>
      <c r="F6" s="1314" t="s">
        <v>983</v>
      </c>
      <c r="G6" s="1315"/>
      <c r="H6" s="1316"/>
      <c r="I6" s="1305" t="s">
        <v>984</v>
      </c>
      <c r="J6" s="1306"/>
      <c r="K6" s="1307"/>
      <c r="L6" s="1305" t="s">
        <v>985</v>
      </c>
      <c r="M6" s="1306"/>
      <c r="N6" s="1307"/>
      <c r="O6" s="1311"/>
      <c r="P6" s="1312"/>
      <c r="Q6" s="1312"/>
      <c r="R6" s="1313"/>
    </row>
    <row r="7" spans="1:18" ht="30" customHeight="1" thickBot="1">
      <c r="A7" s="1302"/>
      <c r="B7" s="1304"/>
      <c r="C7" s="926" t="s">
        <v>638</v>
      </c>
      <c r="D7" s="927" t="s">
        <v>648</v>
      </c>
      <c r="E7" s="928" t="s">
        <v>951</v>
      </c>
      <c r="F7" s="926" t="s">
        <v>638</v>
      </c>
      <c r="G7" s="927" t="s">
        <v>648</v>
      </c>
      <c r="H7" s="928" t="s">
        <v>951</v>
      </c>
      <c r="I7" s="926" t="s">
        <v>638</v>
      </c>
      <c r="J7" s="927" t="s">
        <v>648</v>
      </c>
      <c r="K7" s="928" t="s">
        <v>951</v>
      </c>
      <c r="L7" s="926" t="s">
        <v>638</v>
      </c>
      <c r="M7" s="927" t="s">
        <v>648</v>
      </c>
      <c r="N7" s="928" t="s">
        <v>951</v>
      </c>
      <c r="O7" s="929" t="s">
        <v>638</v>
      </c>
      <c r="P7" s="927" t="s">
        <v>648</v>
      </c>
      <c r="Q7" s="927" t="s">
        <v>951</v>
      </c>
      <c r="R7" s="928" t="s">
        <v>640</v>
      </c>
    </row>
    <row r="8" spans="1:18" ht="26.25">
      <c r="A8" s="321" t="s">
        <v>5</v>
      </c>
      <c r="B8" s="888" t="s">
        <v>6</v>
      </c>
      <c r="C8" s="919">
        <v>7505974</v>
      </c>
      <c r="D8" s="920">
        <f>C8</f>
        <v>7505974</v>
      </c>
      <c r="E8" s="921">
        <v>2900836</v>
      </c>
      <c r="F8" s="922">
        <v>0</v>
      </c>
      <c r="G8" s="923">
        <f>SUM(F8)</f>
        <v>0</v>
      </c>
      <c r="H8" s="924">
        <v>0</v>
      </c>
      <c r="I8" s="919"/>
      <c r="J8" s="920">
        <f>I8</f>
        <v>0</v>
      </c>
      <c r="K8" s="921"/>
      <c r="L8" s="919">
        <v>1380000</v>
      </c>
      <c r="M8" s="920">
        <v>0</v>
      </c>
      <c r="N8" s="921"/>
      <c r="O8" s="1148">
        <f>SUM(C8,I8,L8,F8)</f>
        <v>8885974</v>
      </c>
      <c r="P8" s="1149">
        <f t="shared" ref="P8:Q24" si="0">SUM(D8,J8,M8,G8)</f>
        <v>7505974</v>
      </c>
      <c r="Q8" s="1149">
        <f>SUM(E8,K8,N8,H8)</f>
        <v>2900836</v>
      </c>
      <c r="R8" s="925">
        <f>Q8/P8</f>
        <v>0.38647029685954148</v>
      </c>
    </row>
    <row r="9" spans="1:18">
      <c r="A9" s="321" t="s">
        <v>234</v>
      </c>
      <c r="B9" s="888" t="s">
        <v>18</v>
      </c>
      <c r="C9" s="896">
        <f>'Önkormányzat személyi'!D12</f>
        <v>200000</v>
      </c>
      <c r="D9" s="882">
        <f t="shared" ref="D9:D67" si="1">C9</f>
        <v>200000</v>
      </c>
      <c r="E9" s="897">
        <v>156250</v>
      </c>
      <c r="F9" s="905">
        <v>0</v>
      </c>
      <c r="G9" s="325">
        <f t="shared" ref="G9:G67" si="2">SUM(F9)</f>
        <v>0</v>
      </c>
      <c r="H9" s="906">
        <v>0</v>
      </c>
      <c r="I9" s="896"/>
      <c r="J9" s="882">
        <f t="shared" ref="J9:J67" si="3">I9</f>
        <v>0</v>
      </c>
      <c r="K9" s="897"/>
      <c r="L9" s="896">
        <v>0</v>
      </c>
      <c r="M9" s="882">
        <f t="shared" ref="M9:M67" si="4">L9</f>
        <v>0</v>
      </c>
      <c r="N9" s="897"/>
      <c r="O9" s="1150">
        <f t="shared" ref="O9:P67" si="5">SUM(C9,I9,L9,F9)</f>
        <v>200000</v>
      </c>
      <c r="P9" s="1151">
        <f t="shared" si="0"/>
        <v>200000</v>
      </c>
      <c r="Q9" s="1149">
        <f t="shared" ref="Q9:Q12" si="6">SUM(E9,K9,N9,H9)</f>
        <v>156250</v>
      </c>
      <c r="R9" s="916">
        <f t="shared" ref="R9:R67" si="7">Q9/P9</f>
        <v>0.78125</v>
      </c>
    </row>
    <row r="10" spans="1:18">
      <c r="A10" s="321" t="s">
        <v>236</v>
      </c>
      <c r="B10" s="888" t="s">
        <v>24</v>
      </c>
      <c r="C10" s="896">
        <v>12000</v>
      </c>
      <c r="D10" s="882">
        <f t="shared" si="1"/>
        <v>12000</v>
      </c>
      <c r="E10" s="897"/>
      <c r="F10" s="905">
        <v>0</v>
      </c>
      <c r="G10" s="325">
        <f t="shared" si="2"/>
        <v>0</v>
      </c>
      <c r="H10" s="906">
        <v>0</v>
      </c>
      <c r="I10" s="896"/>
      <c r="J10" s="882">
        <f t="shared" si="3"/>
        <v>0</v>
      </c>
      <c r="K10" s="897"/>
      <c r="L10" s="896">
        <v>0</v>
      </c>
      <c r="M10" s="882">
        <f t="shared" si="4"/>
        <v>0</v>
      </c>
      <c r="N10" s="897"/>
      <c r="O10" s="1150">
        <f t="shared" si="5"/>
        <v>12000</v>
      </c>
      <c r="P10" s="1151">
        <f t="shared" si="0"/>
        <v>12000</v>
      </c>
      <c r="Q10" s="1149">
        <f t="shared" si="6"/>
        <v>0</v>
      </c>
      <c r="R10" s="916">
        <f t="shared" si="7"/>
        <v>0</v>
      </c>
    </row>
    <row r="11" spans="1:18">
      <c r="A11" s="326" t="s">
        <v>659</v>
      </c>
      <c r="B11" s="889" t="s">
        <v>30</v>
      </c>
      <c r="C11" s="896">
        <v>0</v>
      </c>
      <c r="D11" s="882">
        <v>10300</v>
      </c>
      <c r="E11" s="897">
        <v>10300</v>
      </c>
      <c r="F11" s="905">
        <v>0</v>
      </c>
      <c r="G11" s="325">
        <f t="shared" si="2"/>
        <v>0</v>
      </c>
      <c r="H11" s="906">
        <v>0</v>
      </c>
      <c r="I11" s="896"/>
      <c r="J11" s="882">
        <f t="shared" si="3"/>
        <v>0</v>
      </c>
      <c r="K11" s="897"/>
      <c r="L11" s="896">
        <v>0</v>
      </c>
      <c r="M11" s="882">
        <f t="shared" si="4"/>
        <v>0</v>
      </c>
      <c r="N11" s="897"/>
      <c r="O11" s="1150">
        <f t="shared" si="5"/>
        <v>0</v>
      </c>
      <c r="P11" s="1151">
        <f t="shared" si="0"/>
        <v>10300</v>
      </c>
      <c r="Q11" s="1149">
        <f t="shared" si="6"/>
        <v>10300</v>
      </c>
      <c r="R11" s="916"/>
    </row>
    <row r="12" spans="1:18" ht="51.75">
      <c r="A12" s="326" t="s">
        <v>834</v>
      </c>
      <c r="B12" s="889" t="s">
        <v>34</v>
      </c>
      <c r="C12" s="896"/>
      <c r="D12" s="882">
        <f t="shared" si="1"/>
        <v>0</v>
      </c>
      <c r="E12" s="897"/>
      <c r="F12" s="905">
        <v>0</v>
      </c>
      <c r="G12" s="325">
        <f t="shared" si="2"/>
        <v>0</v>
      </c>
      <c r="H12" s="906"/>
      <c r="I12" s="896"/>
      <c r="J12" s="882">
        <f t="shared" si="3"/>
        <v>0</v>
      </c>
      <c r="K12" s="897"/>
      <c r="L12" s="896">
        <v>0</v>
      </c>
      <c r="M12" s="882">
        <f>1380000+345000</f>
        <v>1725000</v>
      </c>
      <c r="N12" s="897">
        <v>575000</v>
      </c>
      <c r="O12" s="1150">
        <f>SUM(C12,I12,L12,F12)</f>
        <v>0</v>
      </c>
      <c r="P12" s="1151">
        <f t="shared" si="0"/>
        <v>1725000</v>
      </c>
      <c r="Q12" s="1149">
        <f t="shared" si="6"/>
        <v>575000</v>
      </c>
      <c r="R12" s="916"/>
    </row>
    <row r="13" spans="1:18" ht="26.25">
      <c r="A13" s="321" t="s">
        <v>244</v>
      </c>
      <c r="B13" s="888" t="s">
        <v>41</v>
      </c>
      <c r="C13" s="896">
        <v>991304</v>
      </c>
      <c r="D13" s="882">
        <f t="shared" si="1"/>
        <v>991304</v>
      </c>
      <c r="E13" s="897">
        <v>436216</v>
      </c>
      <c r="F13" s="905">
        <v>0</v>
      </c>
      <c r="G13" s="325">
        <f t="shared" si="2"/>
        <v>0</v>
      </c>
      <c r="H13" s="906">
        <v>0</v>
      </c>
      <c r="I13" s="896"/>
      <c r="J13" s="882">
        <f t="shared" si="3"/>
        <v>0</v>
      </c>
      <c r="K13" s="897"/>
      <c r="L13" s="896">
        <v>179400</v>
      </c>
      <c r="M13" s="882">
        <f t="shared" si="4"/>
        <v>179400</v>
      </c>
      <c r="N13" s="897">
        <v>69863</v>
      </c>
      <c r="O13" s="1150">
        <f t="shared" si="5"/>
        <v>1170704</v>
      </c>
      <c r="P13" s="1151">
        <f t="shared" si="0"/>
        <v>1170704</v>
      </c>
      <c r="Q13" s="1151">
        <f>SUM(E13,K13,N13,H13)</f>
        <v>506079</v>
      </c>
      <c r="R13" s="916">
        <f t="shared" si="7"/>
        <v>0.43228604326969072</v>
      </c>
    </row>
    <row r="14" spans="1:18">
      <c r="A14" s="887" t="s">
        <v>259</v>
      </c>
      <c r="B14" s="890" t="s">
        <v>44</v>
      </c>
      <c r="C14" s="898">
        <f>SUM(C15:C15)</f>
        <v>20000</v>
      </c>
      <c r="D14" s="882">
        <f t="shared" si="1"/>
        <v>20000</v>
      </c>
      <c r="E14" s="899">
        <f>SUM(E15:E15)</f>
        <v>16591</v>
      </c>
      <c r="F14" s="907">
        <v>0</v>
      </c>
      <c r="G14" s="325">
        <f t="shared" si="2"/>
        <v>0</v>
      </c>
      <c r="H14" s="908"/>
      <c r="I14" s="898">
        <f>SUM(I15:I15)</f>
        <v>0</v>
      </c>
      <c r="J14" s="882">
        <f t="shared" si="3"/>
        <v>0</v>
      </c>
      <c r="K14" s="899"/>
      <c r="L14" s="898">
        <f>SUM(L15:L15)</f>
        <v>0</v>
      </c>
      <c r="M14" s="882">
        <f t="shared" si="4"/>
        <v>0</v>
      </c>
      <c r="N14" s="899"/>
      <c r="O14" s="1150">
        <f t="shared" si="5"/>
        <v>20000</v>
      </c>
      <c r="P14" s="1151">
        <f t="shared" si="0"/>
        <v>20000</v>
      </c>
      <c r="Q14" s="1151">
        <f t="shared" si="0"/>
        <v>16591</v>
      </c>
      <c r="R14" s="916">
        <f t="shared" si="7"/>
        <v>0.82955000000000001</v>
      </c>
    </row>
    <row r="15" spans="1:18">
      <c r="A15" s="322" t="s">
        <v>263</v>
      </c>
      <c r="B15" s="891"/>
      <c r="C15" s="900">
        <v>20000</v>
      </c>
      <c r="D15" s="882">
        <f t="shared" si="1"/>
        <v>20000</v>
      </c>
      <c r="E15" s="901">
        <v>16591</v>
      </c>
      <c r="F15" s="909"/>
      <c r="G15" s="325">
        <f t="shared" si="2"/>
        <v>0</v>
      </c>
      <c r="H15" s="910"/>
      <c r="I15" s="900"/>
      <c r="J15" s="882">
        <f t="shared" si="3"/>
        <v>0</v>
      </c>
      <c r="K15" s="901"/>
      <c r="L15" s="900"/>
      <c r="M15" s="882">
        <f t="shared" si="4"/>
        <v>0</v>
      </c>
      <c r="N15" s="901"/>
      <c r="O15" s="1150">
        <f t="shared" si="5"/>
        <v>20000</v>
      </c>
      <c r="P15" s="1151">
        <f t="shared" si="0"/>
        <v>20000</v>
      </c>
      <c r="Q15" s="1151">
        <f t="shared" si="0"/>
        <v>16591</v>
      </c>
      <c r="R15" s="916">
        <f t="shared" si="7"/>
        <v>0.82955000000000001</v>
      </c>
    </row>
    <row r="16" spans="1:18" s="524" customFormat="1" ht="26.25">
      <c r="A16" s="886" t="s">
        <v>264</v>
      </c>
      <c r="B16" s="891" t="s">
        <v>49</v>
      </c>
      <c r="C16" s="898">
        <f>SUM(C17:C17)</f>
        <v>50000</v>
      </c>
      <c r="D16" s="883">
        <f t="shared" si="1"/>
        <v>50000</v>
      </c>
      <c r="E16" s="899">
        <f>SUM(E17:E17)</f>
        <v>0</v>
      </c>
      <c r="F16" s="907">
        <v>0</v>
      </c>
      <c r="G16" s="327">
        <f t="shared" si="2"/>
        <v>0</v>
      </c>
      <c r="H16" s="908">
        <f>SUM(H17)</f>
        <v>0</v>
      </c>
      <c r="I16" s="898">
        <f>SUM(I17:I17)</f>
        <v>601209</v>
      </c>
      <c r="J16" s="883">
        <f t="shared" ref="J16:K16" si="8">SUM(J17:J17)</f>
        <v>601209</v>
      </c>
      <c r="K16" s="899">
        <f t="shared" si="8"/>
        <v>3800</v>
      </c>
      <c r="L16" s="900">
        <f>L17</f>
        <v>50000</v>
      </c>
      <c r="M16" s="884">
        <f t="shared" ref="M16:N16" si="9">M17</f>
        <v>50000</v>
      </c>
      <c r="N16" s="901">
        <f t="shared" si="9"/>
        <v>10939</v>
      </c>
      <c r="O16" s="1150">
        <f t="shared" si="5"/>
        <v>701209</v>
      </c>
      <c r="P16" s="1151">
        <f>SUM(D16,J16,M16,G16)</f>
        <v>701209</v>
      </c>
      <c r="Q16" s="1151">
        <f t="shared" si="0"/>
        <v>14739</v>
      </c>
      <c r="R16" s="917">
        <f t="shared" si="7"/>
        <v>2.1019410760557838E-2</v>
      </c>
    </row>
    <row r="17" spans="1:18">
      <c r="A17" s="322" t="s">
        <v>269</v>
      </c>
      <c r="B17" s="891"/>
      <c r="C17" s="900">
        <v>50000</v>
      </c>
      <c r="D17" s="882">
        <f t="shared" si="1"/>
        <v>50000</v>
      </c>
      <c r="E17" s="901"/>
      <c r="F17" s="909"/>
      <c r="G17" s="325"/>
      <c r="H17" s="910"/>
      <c r="I17" s="900">
        <v>601209</v>
      </c>
      <c r="J17" s="882">
        <f t="shared" si="3"/>
        <v>601209</v>
      </c>
      <c r="K17" s="901">
        <v>3800</v>
      </c>
      <c r="L17" s="900">
        <v>50000</v>
      </c>
      <c r="M17" s="882">
        <f t="shared" si="4"/>
        <v>50000</v>
      </c>
      <c r="N17" s="901">
        <v>10939</v>
      </c>
      <c r="O17" s="1150">
        <f t="shared" si="5"/>
        <v>701209</v>
      </c>
      <c r="P17" s="1151">
        <f>SUM(D17,J17,M17,G17)</f>
        <v>701209</v>
      </c>
      <c r="Q17" s="1151">
        <f t="shared" si="0"/>
        <v>14739</v>
      </c>
      <c r="R17" s="916">
        <f t="shared" si="7"/>
        <v>2.1019410760557838E-2</v>
      </c>
    </row>
    <row r="18" spans="1:18">
      <c r="A18" s="323" t="s">
        <v>270</v>
      </c>
      <c r="B18" s="891" t="s">
        <v>271</v>
      </c>
      <c r="C18" s="900">
        <v>0</v>
      </c>
      <c r="D18" s="882">
        <f t="shared" si="1"/>
        <v>0</v>
      </c>
      <c r="E18" s="901">
        <v>0</v>
      </c>
      <c r="F18" s="909">
        <v>0</v>
      </c>
      <c r="G18" s="325">
        <f t="shared" si="2"/>
        <v>0</v>
      </c>
      <c r="H18" s="910"/>
      <c r="I18" s="900"/>
      <c r="J18" s="882">
        <f t="shared" si="3"/>
        <v>0</v>
      </c>
      <c r="K18" s="901"/>
      <c r="L18" s="900"/>
      <c r="M18" s="882">
        <f t="shared" si="4"/>
        <v>0</v>
      </c>
      <c r="N18" s="901"/>
      <c r="O18" s="1150">
        <f t="shared" si="5"/>
        <v>0</v>
      </c>
      <c r="P18" s="1151">
        <f t="shared" si="0"/>
        <v>0</v>
      </c>
      <c r="Q18" s="1151">
        <f t="shared" si="0"/>
        <v>0</v>
      </c>
      <c r="R18" s="916" t="e">
        <f t="shared" si="7"/>
        <v>#DIV/0!</v>
      </c>
    </row>
    <row r="19" spans="1:18">
      <c r="A19" s="323" t="s">
        <v>272</v>
      </c>
      <c r="B19" s="891" t="s">
        <v>56</v>
      </c>
      <c r="C19" s="898">
        <f>SUM(C16,C14,C18)</f>
        <v>70000</v>
      </c>
      <c r="D19" s="882">
        <f t="shared" si="1"/>
        <v>70000</v>
      </c>
      <c r="E19" s="899">
        <f>SUM(E16,E14,E18)</f>
        <v>16591</v>
      </c>
      <c r="F19" s="907">
        <f>SUM(F18,F16,F14)</f>
        <v>0</v>
      </c>
      <c r="G19" s="325">
        <f t="shared" si="2"/>
        <v>0</v>
      </c>
      <c r="H19" s="908">
        <f>SUM(H18,H16,H14)</f>
        <v>0</v>
      </c>
      <c r="I19" s="898">
        <f>SUM(I16,I14,I18)</f>
        <v>601209</v>
      </c>
      <c r="J19" s="883">
        <f t="shared" ref="J19" si="10">SUM(J16,J14,J18)</f>
        <v>601209</v>
      </c>
      <c r="K19" s="899">
        <f>SUM(K16,K14,K18)</f>
        <v>3800</v>
      </c>
      <c r="L19" s="898">
        <f>SUM(L16,L14,L18)</f>
        <v>50000</v>
      </c>
      <c r="M19" s="883">
        <f t="shared" ref="M19:N19" si="11">SUM(M16,M14,M18)</f>
        <v>50000</v>
      </c>
      <c r="N19" s="899">
        <f t="shared" si="11"/>
        <v>10939</v>
      </c>
      <c r="O19" s="1150">
        <f t="shared" si="5"/>
        <v>721209</v>
      </c>
      <c r="P19" s="1151">
        <f t="shared" si="0"/>
        <v>721209</v>
      </c>
      <c r="Q19" s="1151">
        <f t="shared" si="0"/>
        <v>31330</v>
      </c>
      <c r="R19" s="916">
        <f t="shared" si="7"/>
        <v>4.3440944303246354E-2</v>
      </c>
    </row>
    <row r="20" spans="1:18" ht="25.5" hidden="1">
      <c r="A20" s="323" t="s">
        <v>273</v>
      </c>
      <c r="B20" s="891" t="s">
        <v>58</v>
      </c>
      <c r="C20" s="900">
        <f t="shared" ref="C20:L20" si="12">SUM(C21:C24)</f>
        <v>0</v>
      </c>
      <c r="D20" s="882">
        <f t="shared" si="1"/>
        <v>0</v>
      </c>
      <c r="E20" s="901"/>
      <c r="F20" s="909"/>
      <c r="G20" s="325">
        <f t="shared" si="2"/>
        <v>0</v>
      </c>
      <c r="H20" s="910"/>
      <c r="I20" s="900">
        <f t="shared" si="12"/>
        <v>0</v>
      </c>
      <c r="J20" s="882">
        <f t="shared" si="3"/>
        <v>0</v>
      </c>
      <c r="K20" s="901"/>
      <c r="L20" s="900">
        <f t="shared" si="12"/>
        <v>0</v>
      </c>
      <c r="M20" s="882">
        <f t="shared" si="4"/>
        <v>0</v>
      </c>
      <c r="N20" s="901"/>
      <c r="O20" s="1150">
        <f t="shared" si="5"/>
        <v>0</v>
      </c>
      <c r="P20" s="1151">
        <f t="shared" si="0"/>
        <v>0</v>
      </c>
      <c r="Q20" s="1151">
        <f t="shared" si="0"/>
        <v>0</v>
      </c>
      <c r="R20" s="916" t="e">
        <f t="shared" si="7"/>
        <v>#DIV/0!</v>
      </c>
    </row>
    <row r="21" spans="1:18" ht="25.5" hidden="1">
      <c r="A21" s="322" t="s">
        <v>274</v>
      </c>
      <c r="B21" s="891"/>
      <c r="C21" s="900"/>
      <c r="D21" s="882">
        <f t="shared" si="1"/>
        <v>0</v>
      </c>
      <c r="E21" s="901"/>
      <c r="F21" s="909"/>
      <c r="G21" s="325">
        <f t="shared" si="2"/>
        <v>0</v>
      </c>
      <c r="H21" s="910"/>
      <c r="I21" s="900"/>
      <c r="J21" s="882">
        <f t="shared" si="3"/>
        <v>0</v>
      </c>
      <c r="K21" s="901"/>
      <c r="L21" s="900"/>
      <c r="M21" s="882">
        <f t="shared" si="4"/>
        <v>0</v>
      </c>
      <c r="N21" s="901"/>
      <c r="O21" s="1150">
        <f t="shared" si="5"/>
        <v>0</v>
      </c>
      <c r="P21" s="1151">
        <f t="shared" si="0"/>
        <v>0</v>
      </c>
      <c r="Q21" s="1151">
        <f t="shared" si="0"/>
        <v>0</v>
      </c>
      <c r="R21" s="916" t="e">
        <f t="shared" si="7"/>
        <v>#DIV/0!</v>
      </c>
    </row>
    <row r="22" spans="1:18" ht="25.5" hidden="1">
      <c r="A22" s="322" t="s">
        <v>275</v>
      </c>
      <c r="B22" s="891"/>
      <c r="C22" s="900"/>
      <c r="D22" s="882">
        <f t="shared" si="1"/>
        <v>0</v>
      </c>
      <c r="E22" s="901"/>
      <c r="F22" s="909"/>
      <c r="G22" s="325">
        <f t="shared" si="2"/>
        <v>0</v>
      </c>
      <c r="H22" s="910"/>
      <c r="I22" s="900"/>
      <c r="J22" s="882">
        <f t="shared" si="3"/>
        <v>0</v>
      </c>
      <c r="K22" s="901"/>
      <c r="L22" s="900"/>
      <c r="M22" s="882">
        <f t="shared" si="4"/>
        <v>0</v>
      </c>
      <c r="N22" s="901"/>
      <c r="O22" s="1150">
        <f t="shared" si="5"/>
        <v>0</v>
      </c>
      <c r="P22" s="1151">
        <f t="shared" si="0"/>
        <v>0</v>
      </c>
      <c r="Q22" s="1151">
        <f t="shared" si="0"/>
        <v>0</v>
      </c>
      <c r="R22" s="916" t="e">
        <f t="shared" si="7"/>
        <v>#DIV/0!</v>
      </c>
    </row>
    <row r="23" spans="1:18" hidden="1">
      <c r="A23" s="322" t="s">
        <v>276</v>
      </c>
      <c r="B23" s="891"/>
      <c r="C23" s="900"/>
      <c r="D23" s="882">
        <f t="shared" si="1"/>
        <v>0</v>
      </c>
      <c r="E23" s="901"/>
      <c r="F23" s="909"/>
      <c r="G23" s="325">
        <f t="shared" si="2"/>
        <v>0</v>
      </c>
      <c r="H23" s="910"/>
      <c r="I23" s="900"/>
      <c r="J23" s="882">
        <f t="shared" si="3"/>
        <v>0</v>
      </c>
      <c r="K23" s="901"/>
      <c r="L23" s="900"/>
      <c r="M23" s="882">
        <f t="shared" si="4"/>
        <v>0</v>
      </c>
      <c r="N23" s="901"/>
      <c r="O23" s="1150">
        <f t="shared" si="5"/>
        <v>0</v>
      </c>
      <c r="P23" s="1151">
        <f t="shared" si="0"/>
        <v>0</v>
      </c>
      <c r="Q23" s="1151">
        <f t="shared" si="0"/>
        <v>0</v>
      </c>
      <c r="R23" s="916" t="e">
        <f t="shared" si="7"/>
        <v>#DIV/0!</v>
      </c>
    </row>
    <row r="24" spans="1:18" ht="25.5" hidden="1">
      <c r="A24" s="322" t="s">
        <v>277</v>
      </c>
      <c r="B24" s="891"/>
      <c r="C24" s="900"/>
      <c r="D24" s="882">
        <f t="shared" si="1"/>
        <v>0</v>
      </c>
      <c r="E24" s="901"/>
      <c r="F24" s="909"/>
      <c r="G24" s="325">
        <f t="shared" si="2"/>
        <v>0</v>
      </c>
      <c r="H24" s="910"/>
      <c r="I24" s="900"/>
      <c r="J24" s="882">
        <f t="shared" si="3"/>
        <v>0</v>
      </c>
      <c r="K24" s="901"/>
      <c r="L24" s="900"/>
      <c r="M24" s="882">
        <f t="shared" si="4"/>
        <v>0</v>
      </c>
      <c r="N24" s="901"/>
      <c r="O24" s="1150">
        <f t="shared" si="5"/>
        <v>0</v>
      </c>
      <c r="P24" s="1151">
        <f t="shared" si="0"/>
        <v>0</v>
      </c>
      <c r="Q24" s="1151">
        <f t="shared" si="0"/>
        <v>0</v>
      </c>
      <c r="R24" s="916" t="e">
        <f t="shared" si="7"/>
        <v>#DIV/0!</v>
      </c>
    </row>
    <row r="25" spans="1:18" ht="25.5" hidden="1">
      <c r="A25" s="323" t="s">
        <v>278</v>
      </c>
      <c r="B25" s="891" t="s">
        <v>60</v>
      </c>
      <c r="C25" s="898">
        <f t="shared" ref="C25:L25" si="13">SUM(C26:C27)</f>
        <v>160000</v>
      </c>
      <c r="D25" s="882">
        <f t="shared" si="1"/>
        <v>160000</v>
      </c>
      <c r="E25" s="899"/>
      <c r="F25" s="907"/>
      <c r="G25" s="325">
        <f t="shared" si="2"/>
        <v>0</v>
      </c>
      <c r="H25" s="908"/>
      <c r="I25" s="898">
        <f t="shared" si="13"/>
        <v>0</v>
      </c>
      <c r="J25" s="882">
        <f t="shared" si="3"/>
        <v>0</v>
      </c>
      <c r="K25" s="899"/>
      <c r="L25" s="898">
        <f t="shared" si="13"/>
        <v>120000</v>
      </c>
      <c r="M25" s="882">
        <f t="shared" si="4"/>
        <v>120000</v>
      </c>
      <c r="N25" s="899"/>
      <c r="O25" s="1150">
        <f t="shared" si="5"/>
        <v>280000</v>
      </c>
      <c r="P25" s="1151">
        <f t="shared" si="5"/>
        <v>280000</v>
      </c>
      <c r="Q25" s="1151">
        <f t="shared" ref="Q25:Q67" si="14">SUM(E25,K25,N25,H25)</f>
        <v>0</v>
      </c>
      <c r="R25" s="916">
        <f t="shared" si="7"/>
        <v>0</v>
      </c>
    </row>
    <row r="26" spans="1:18" s="524" customFormat="1" ht="26.25">
      <c r="A26" s="885" t="s">
        <v>279</v>
      </c>
      <c r="B26" s="891"/>
      <c r="C26" s="900">
        <v>160000</v>
      </c>
      <c r="D26" s="883">
        <f t="shared" si="1"/>
        <v>160000</v>
      </c>
      <c r="E26" s="901">
        <f>21760+38975</f>
        <v>60735</v>
      </c>
      <c r="F26" s="909"/>
      <c r="G26" s="327"/>
      <c r="H26" s="910"/>
      <c r="I26" s="900"/>
      <c r="J26" s="883">
        <f t="shared" si="3"/>
        <v>0</v>
      </c>
      <c r="K26" s="901"/>
      <c r="L26" s="900"/>
      <c r="M26" s="883"/>
      <c r="N26" s="901"/>
      <c r="O26" s="1150">
        <f t="shared" si="5"/>
        <v>160000</v>
      </c>
      <c r="P26" s="1151">
        <f t="shared" si="5"/>
        <v>160000</v>
      </c>
      <c r="Q26" s="1151">
        <f t="shared" si="14"/>
        <v>60735</v>
      </c>
      <c r="R26" s="917">
        <f t="shared" si="7"/>
        <v>0.37959375000000001</v>
      </c>
    </row>
    <row r="27" spans="1:18" s="524" customFormat="1" ht="30" customHeight="1">
      <c r="A27" s="885" t="s">
        <v>280</v>
      </c>
      <c r="B27" s="891"/>
      <c r="C27" s="900">
        <v>0</v>
      </c>
      <c r="D27" s="883">
        <f t="shared" si="1"/>
        <v>0</v>
      </c>
      <c r="E27" s="901"/>
      <c r="F27" s="909"/>
      <c r="G27" s="327"/>
      <c r="H27" s="910"/>
      <c r="I27" s="900"/>
      <c r="J27" s="883">
        <f t="shared" si="3"/>
        <v>0</v>
      </c>
      <c r="K27" s="901"/>
      <c r="L27" s="900">
        <v>120000</v>
      </c>
      <c r="M27" s="883"/>
      <c r="N27" s="901"/>
      <c r="O27" s="1150">
        <f t="shared" si="5"/>
        <v>120000</v>
      </c>
      <c r="P27" s="1151">
        <f t="shared" si="5"/>
        <v>0</v>
      </c>
      <c r="Q27" s="1151">
        <f t="shared" si="14"/>
        <v>0</v>
      </c>
      <c r="R27" s="917" t="e">
        <f t="shared" si="7"/>
        <v>#DIV/0!</v>
      </c>
    </row>
    <row r="28" spans="1:18">
      <c r="A28" s="323" t="s">
        <v>62</v>
      </c>
      <c r="B28" s="891" t="s">
        <v>63</v>
      </c>
      <c r="C28" s="898">
        <f>C26+C27</f>
        <v>160000</v>
      </c>
      <c r="D28" s="883">
        <f>D26+D27</f>
        <v>160000</v>
      </c>
      <c r="E28" s="899">
        <f>SUM(E20,E25,E26)</f>
        <v>60735</v>
      </c>
      <c r="F28" s="907">
        <v>0</v>
      </c>
      <c r="G28" s="325">
        <f t="shared" si="2"/>
        <v>0</v>
      </c>
      <c r="H28" s="908">
        <v>0</v>
      </c>
      <c r="I28" s="898">
        <f>SUM(I20,I25)</f>
        <v>0</v>
      </c>
      <c r="J28" s="882">
        <f t="shared" si="3"/>
        <v>0</v>
      </c>
      <c r="K28" s="899"/>
      <c r="L28" s="898">
        <f>SUM(L20,L25)</f>
        <v>120000</v>
      </c>
      <c r="M28" s="882">
        <f t="shared" si="4"/>
        <v>120000</v>
      </c>
      <c r="N28" s="899">
        <f>SUM(N27)</f>
        <v>0</v>
      </c>
      <c r="O28" s="1150">
        <f t="shared" si="5"/>
        <v>280000</v>
      </c>
      <c r="P28" s="1151">
        <f t="shared" si="5"/>
        <v>280000</v>
      </c>
      <c r="Q28" s="1151">
        <f t="shared" si="14"/>
        <v>60735</v>
      </c>
      <c r="R28" s="916">
        <f t="shared" si="7"/>
        <v>0.21691071428571429</v>
      </c>
    </row>
    <row r="29" spans="1:18">
      <c r="A29" s="323" t="s">
        <v>281</v>
      </c>
      <c r="B29" s="891" t="s">
        <v>65</v>
      </c>
      <c r="C29" s="898">
        <f t="shared" ref="C29:I29" si="15">SUM(C30:C32)</f>
        <v>0</v>
      </c>
      <c r="D29" s="882">
        <f t="shared" si="1"/>
        <v>0</v>
      </c>
      <c r="E29" s="899">
        <v>0</v>
      </c>
      <c r="F29" s="907">
        <v>0</v>
      </c>
      <c r="G29" s="325">
        <f t="shared" si="2"/>
        <v>0</v>
      </c>
      <c r="H29" s="908"/>
      <c r="I29" s="898">
        <f t="shared" si="15"/>
        <v>0</v>
      </c>
      <c r="J29" s="882">
        <f t="shared" si="3"/>
        <v>0</v>
      </c>
      <c r="K29" s="899"/>
      <c r="L29" s="898">
        <v>300000</v>
      </c>
      <c r="M29" s="883">
        <v>300000</v>
      </c>
      <c r="N29" s="899">
        <f>SUM(N30:N32)</f>
        <v>100481</v>
      </c>
      <c r="O29" s="1150">
        <f t="shared" si="5"/>
        <v>300000</v>
      </c>
      <c r="P29" s="1151">
        <f t="shared" si="5"/>
        <v>300000</v>
      </c>
      <c r="Q29" s="1151">
        <f t="shared" si="14"/>
        <v>100481</v>
      </c>
      <c r="R29" s="916">
        <f t="shared" si="7"/>
        <v>0.33493666666666666</v>
      </c>
    </row>
    <row r="30" spans="1:18">
      <c r="A30" s="322" t="s">
        <v>282</v>
      </c>
      <c r="B30" s="891"/>
      <c r="C30" s="900"/>
      <c r="D30" s="882"/>
      <c r="E30" s="901"/>
      <c r="F30" s="909"/>
      <c r="G30" s="325">
        <v>0</v>
      </c>
      <c r="H30" s="910"/>
      <c r="I30" s="900"/>
      <c r="J30" s="882"/>
      <c r="K30" s="901"/>
      <c r="L30" s="900"/>
      <c r="M30" s="882"/>
      <c r="N30" s="901">
        <v>18822</v>
      </c>
      <c r="O30" s="1150">
        <f t="shared" si="5"/>
        <v>0</v>
      </c>
      <c r="P30" s="1151">
        <f t="shared" si="5"/>
        <v>0</v>
      </c>
      <c r="Q30" s="1151">
        <f t="shared" si="14"/>
        <v>18822</v>
      </c>
      <c r="R30" s="916" t="e">
        <f t="shared" si="7"/>
        <v>#DIV/0!</v>
      </c>
    </row>
    <row r="31" spans="1:18">
      <c r="A31" s="322" t="s">
        <v>283</v>
      </c>
      <c r="B31" s="891"/>
      <c r="C31" s="900"/>
      <c r="D31" s="882"/>
      <c r="E31" s="901"/>
      <c r="F31" s="909"/>
      <c r="G31" s="325"/>
      <c r="H31" s="910"/>
      <c r="I31" s="900"/>
      <c r="J31" s="882"/>
      <c r="K31" s="901"/>
      <c r="L31" s="900"/>
      <c r="M31" s="882"/>
      <c r="N31" s="901">
        <v>77409</v>
      </c>
      <c r="O31" s="1150">
        <f t="shared" si="5"/>
        <v>0</v>
      </c>
      <c r="P31" s="1151">
        <f t="shared" si="5"/>
        <v>0</v>
      </c>
      <c r="Q31" s="1151">
        <f t="shared" si="14"/>
        <v>77409</v>
      </c>
      <c r="R31" s="916" t="e">
        <f t="shared" si="7"/>
        <v>#DIV/0!</v>
      </c>
    </row>
    <row r="32" spans="1:18">
      <c r="A32" s="322" t="s">
        <v>284</v>
      </c>
      <c r="B32" s="891"/>
      <c r="C32" s="900"/>
      <c r="D32" s="882"/>
      <c r="E32" s="901"/>
      <c r="F32" s="909"/>
      <c r="G32" s="325"/>
      <c r="H32" s="910"/>
      <c r="I32" s="900"/>
      <c r="J32" s="882"/>
      <c r="K32" s="901"/>
      <c r="L32" s="900"/>
      <c r="M32" s="882"/>
      <c r="N32" s="901">
        <v>4250</v>
      </c>
      <c r="O32" s="1150">
        <f t="shared" si="5"/>
        <v>0</v>
      </c>
      <c r="P32" s="1151">
        <f t="shared" si="5"/>
        <v>0</v>
      </c>
      <c r="Q32" s="1151">
        <f t="shared" si="14"/>
        <v>4250</v>
      </c>
      <c r="R32" s="916" t="e">
        <f t="shared" si="7"/>
        <v>#DIV/0!</v>
      </c>
    </row>
    <row r="33" spans="1:18">
      <c r="A33" s="323" t="s">
        <v>285</v>
      </c>
      <c r="B33" s="891" t="s">
        <v>69</v>
      </c>
      <c r="C33" s="900">
        <v>0</v>
      </c>
      <c r="D33" s="882">
        <f t="shared" si="1"/>
        <v>0</v>
      </c>
      <c r="E33" s="901"/>
      <c r="F33" s="909">
        <v>0</v>
      </c>
      <c r="G33" s="325">
        <f t="shared" si="2"/>
        <v>0</v>
      </c>
      <c r="H33" s="910"/>
      <c r="I33" s="900">
        <v>0</v>
      </c>
      <c r="J33" s="882">
        <f t="shared" si="3"/>
        <v>0</v>
      </c>
      <c r="K33" s="901"/>
      <c r="L33" s="900">
        <v>0</v>
      </c>
      <c r="M33" s="882">
        <f t="shared" si="4"/>
        <v>0</v>
      </c>
      <c r="N33" s="901"/>
      <c r="O33" s="1150">
        <f t="shared" si="5"/>
        <v>0</v>
      </c>
      <c r="P33" s="1151">
        <f t="shared" si="5"/>
        <v>0</v>
      </c>
      <c r="Q33" s="1151">
        <f t="shared" si="14"/>
        <v>0</v>
      </c>
      <c r="R33" s="916" t="e">
        <f t="shared" si="7"/>
        <v>#DIV/0!</v>
      </c>
    </row>
    <row r="34" spans="1:18">
      <c r="A34" s="323" t="s">
        <v>286</v>
      </c>
      <c r="B34" s="891" t="s">
        <v>72</v>
      </c>
      <c r="C34" s="900">
        <v>0</v>
      </c>
      <c r="D34" s="882">
        <f t="shared" si="1"/>
        <v>0</v>
      </c>
      <c r="E34" s="901"/>
      <c r="F34" s="909">
        <v>0</v>
      </c>
      <c r="G34" s="325">
        <f t="shared" si="2"/>
        <v>0</v>
      </c>
      <c r="H34" s="910"/>
      <c r="I34" s="900">
        <v>0</v>
      </c>
      <c r="J34" s="882">
        <f t="shared" si="3"/>
        <v>0</v>
      </c>
      <c r="K34" s="901"/>
      <c r="L34" s="900">
        <v>0</v>
      </c>
      <c r="M34" s="882">
        <f t="shared" si="4"/>
        <v>0</v>
      </c>
      <c r="N34" s="901"/>
      <c r="O34" s="1150">
        <f t="shared" si="5"/>
        <v>0</v>
      </c>
      <c r="P34" s="1151">
        <f t="shared" si="5"/>
        <v>0</v>
      </c>
      <c r="Q34" s="1151">
        <f t="shared" si="14"/>
        <v>0</v>
      </c>
      <c r="R34" s="916" t="e">
        <f t="shared" si="7"/>
        <v>#DIV/0!</v>
      </c>
    </row>
    <row r="35" spans="1:18" s="524" customFormat="1" ht="26.25">
      <c r="A35" s="886" t="s">
        <v>152</v>
      </c>
      <c r="B35" s="891" t="s">
        <v>73</v>
      </c>
      <c r="C35" s="900">
        <v>20000</v>
      </c>
      <c r="D35" s="883">
        <f t="shared" si="1"/>
        <v>20000</v>
      </c>
      <c r="E35" s="901"/>
      <c r="F35" s="909">
        <v>0</v>
      </c>
      <c r="G35" s="327">
        <f t="shared" si="2"/>
        <v>0</v>
      </c>
      <c r="H35" s="910"/>
      <c r="I35" s="900">
        <v>50000</v>
      </c>
      <c r="J35" s="883">
        <f t="shared" si="3"/>
        <v>50000</v>
      </c>
      <c r="K35" s="901"/>
      <c r="L35" s="900">
        <v>100000</v>
      </c>
      <c r="M35" s="883">
        <f t="shared" si="4"/>
        <v>100000</v>
      </c>
      <c r="N35" s="901">
        <v>0</v>
      </c>
      <c r="O35" s="1150">
        <f t="shared" si="5"/>
        <v>170000</v>
      </c>
      <c r="P35" s="1151">
        <f t="shared" si="5"/>
        <v>170000</v>
      </c>
      <c r="Q35" s="1151">
        <f t="shared" si="14"/>
        <v>0</v>
      </c>
      <c r="R35" s="917">
        <f t="shared" si="7"/>
        <v>0</v>
      </c>
    </row>
    <row r="36" spans="1:18">
      <c r="A36" s="323" t="s">
        <v>74</v>
      </c>
      <c r="B36" s="891" t="s">
        <v>75</v>
      </c>
      <c r="C36" s="900">
        <v>0</v>
      </c>
      <c r="D36" s="882">
        <f t="shared" si="1"/>
        <v>0</v>
      </c>
      <c r="E36" s="901"/>
      <c r="F36" s="909">
        <v>0</v>
      </c>
      <c r="G36" s="325">
        <f t="shared" si="2"/>
        <v>0</v>
      </c>
      <c r="H36" s="910"/>
      <c r="I36" s="900"/>
      <c r="J36" s="882">
        <f t="shared" si="3"/>
        <v>0</v>
      </c>
      <c r="K36" s="901"/>
      <c r="L36" s="900">
        <v>0</v>
      </c>
      <c r="M36" s="882">
        <f t="shared" si="4"/>
        <v>0</v>
      </c>
      <c r="N36" s="901"/>
      <c r="O36" s="1150">
        <f t="shared" si="5"/>
        <v>0</v>
      </c>
      <c r="P36" s="1151">
        <f t="shared" si="5"/>
        <v>0</v>
      </c>
      <c r="Q36" s="1151">
        <f t="shared" si="14"/>
        <v>0</v>
      </c>
      <c r="R36" s="916" t="e">
        <f t="shared" si="7"/>
        <v>#DIV/0!</v>
      </c>
    </row>
    <row r="37" spans="1:18" s="524" customFormat="1" ht="26.25">
      <c r="A37" s="886" t="s">
        <v>287</v>
      </c>
      <c r="B37" s="891" t="s">
        <v>77</v>
      </c>
      <c r="C37" s="898">
        <f>SUM(C38:C40)</f>
        <v>10000</v>
      </c>
      <c r="D37" s="883">
        <f t="shared" si="1"/>
        <v>10000</v>
      </c>
      <c r="E37" s="899"/>
      <c r="F37" s="907">
        <v>0</v>
      </c>
      <c r="G37" s="327">
        <f t="shared" si="2"/>
        <v>0</v>
      </c>
      <c r="H37" s="908"/>
      <c r="I37" s="898">
        <f>SUM(I38:I40)</f>
        <v>2502000</v>
      </c>
      <c r="J37" s="883">
        <f t="shared" si="3"/>
        <v>2502000</v>
      </c>
      <c r="K37" s="899">
        <v>853600</v>
      </c>
      <c r="L37" s="898">
        <v>0</v>
      </c>
      <c r="M37" s="883">
        <f t="shared" si="4"/>
        <v>0</v>
      </c>
      <c r="N37" s="899">
        <v>0</v>
      </c>
      <c r="O37" s="1150">
        <f t="shared" si="5"/>
        <v>2512000</v>
      </c>
      <c r="P37" s="1151">
        <f t="shared" si="5"/>
        <v>2512000</v>
      </c>
      <c r="Q37" s="1151">
        <f t="shared" si="14"/>
        <v>853600</v>
      </c>
      <c r="R37" s="917">
        <f t="shared" si="7"/>
        <v>0.33980891719745221</v>
      </c>
    </row>
    <row r="38" spans="1:18" hidden="1">
      <c r="A38" s="322" t="s">
        <v>78</v>
      </c>
      <c r="B38" s="891"/>
      <c r="C38" s="900"/>
      <c r="D38" s="882">
        <f t="shared" si="1"/>
        <v>0</v>
      </c>
      <c r="E38" s="901"/>
      <c r="F38" s="909"/>
      <c r="G38" s="325">
        <f t="shared" si="2"/>
        <v>0</v>
      </c>
      <c r="H38" s="910"/>
      <c r="I38" s="900"/>
      <c r="J38" s="882">
        <f t="shared" si="3"/>
        <v>0</v>
      </c>
      <c r="K38" s="901"/>
      <c r="L38" s="900"/>
      <c r="M38" s="882">
        <f t="shared" si="4"/>
        <v>0</v>
      </c>
      <c r="N38" s="901"/>
      <c r="O38" s="1150">
        <f t="shared" si="5"/>
        <v>0</v>
      </c>
      <c r="P38" s="1151">
        <f t="shared" si="5"/>
        <v>0</v>
      </c>
      <c r="Q38" s="1151">
        <f t="shared" si="14"/>
        <v>0</v>
      </c>
      <c r="R38" s="916" t="e">
        <f t="shared" si="7"/>
        <v>#DIV/0!</v>
      </c>
    </row>
    <row r="39" spans="1:18" ht="25.5" hidden="1">
      <c r="A39" s="322" t="s">
        <v>79</v>
      </c>
      <c r="B39" s="891"/>
      <c r="C39" s="900"/>
      <c r="D39" s="882">
        <f t="shared" si="1"/>
        <v>0</v>
      </c>
      <c r="E39" s="901"/>
      <c r="F39" s="909"/>
      <c r="G39" s="325">
        <f t="shared" si="2"/>
        <v>0</v>
      </c>
      <c r="H39" s="910"/>
      <c r="I39" s="900"/>
      <c r="J39" s="882">
        <f t="shared" si="3"/>
        <v>0</v>
      </c>
      <c r="K39" s="901"/>
      <c r="L39" s="900"/>
      <c r="M39" s="882">
        <f t="shared" si="4"/>
        <v>0</v>
      </c>
      <c r="N39" s="901"/>
      <c r="O39" s="1150">
        <f t="shared" si="5"/>
        <v>0</v>
      </c>
      <c r="P39" s="1151">
        <f t="shared" si="5"/>
        <v>0</v>
      </c>
      <c r="Q39" s="1151">
        <f t="shared" si="14"/>
        <v>0</v>
      </c>
      <c r="R39" s="916" t="e">
        <f t="shared" si="7"/>
        <v>#DIV/0!</v>
      </c>
    </row>
    <row r="40" spans="1:18">
      <c r="A40" s="322" t="s">
        <v>288</v>
      </c>
      <c r="B40" s="891"/>
      <c r="C40" s="900">
        <v>10000</v>
      </c>
      <c r="D40" s="882">
        <f t="shared" si="1"/>
        <v>10000</v>
      </c>
      <c r="E40" s="901"/>
      <c r="F40" s="909"/>
      <c r="G40" s="325"/>
      <c r="H40" s="910"/>
      <c r="I40" s="900">
        <v>2502000</v>
      </c>
      <c r="J40" s="882">
        <f t="shared" si="3"/>
        <v>2502000</v>
      </c>
      <c r="K40" s="901"/>
      <c r="L40" s="914"/>
      <c r="M40" s="882"/>
      <c r="N40" s="915"/>
      <c r="O40" s="1150">
        <f t="shared" si="5"/>
        <v>2512000</v>
      </c>
      <c r="P40" s="1151">
        <f t="shared" si="5"/>
        <v>2512000</v>
      </c>
      <c r="Q40" s="1151">
        <f t="shared" si="14"/>
        <v>0</v>
      </c>
      <c r="R40" s="916">
        <f t="shared" si="7"/>
        <v>0</v>
      </c>
    </row>
    <row r="41" spans="1:18">
      <c r="A41" s="323" t="s">
        <v>289</v>
      </c>
      <c r="B41" s="891" t="s">
        <v>81</v>
      </c>
      <c r="C41" s="898">
        <f t="shared" ref="C41" si="16">SUM(C42:C47)</f>
        <v>36400</v>
      </c>
      <c r="D41" s="882">
        <f t="shared" si="1"/>
        <v>36400</v>
      </c>
      <c r="E41" s="899">
        <f>SUM(E47)</f>
        <v>2145</v>
      </c>
      <c r="F41" s="907">
        <v>0</v>
      </c>
      <c r="G41" s="325">
        <f t="shared" si="2"/>
        <v>0</v>
      </c>
      <c r="H41" s="908">
        <f>SUM(H47)</f>
        <v>0</v>
      </c>
      <c r="I41" s="898">
        <f t="shared" ref="I41:L41" si="17">SUM(I42:I47)</f>
        <v>0</v>
      </c>
      <c r="J41" s="882">
        <f t="shared" si="3"/>
        <v>0</v>
      </c>
      <c r="K41" s="899">
        <f t="shared" si="17"/>
        <v>0</v>
      </c>
      <c r="L41" s="898">
        <f t="shared" si="17"/>
        <v>200000</v>
      </c>
      <c r="M41" s="882">
        <f t="shared" si="4"/>
        <v>200000</v>
      </c>
      <c r="N41" s="899">
        <f>SUM(N47)</f>
        <v>63031</v>
      </c>
      <c r="O41" s="1150">
        <f t="shared" si="5"/>
        <v>236400</v>
      </c>
      <c r="P41" s="1151">
        <f t="shared" si="5"/>
        <v>236400</v>
      </c>
      <c r="Q41" s="1151">
        <f t="shared" si="14"/>
        <v>65176</v>
      </c>
      <c r="R41" s="916">
        <f t="shared" si="7"/>
        <v>0.27570219966159054</v>
      </c>
    </row>
    <row r="42" spans="1:18" hidden="1">
      <c r="A42" s="322" t="s">
        <v>290</v>
      </c>
      <c r="B42" s="892"/>
      <c r="C42" s="900"/>
      <c r="D42" s="882">
        <f t="shared" si="1"/>
        <v>0</v>
      </c>
      <c r="E42" s="901"/>
      <c r="F42" s="909"/>
      <c r="G42" s="325">
        <f t="shared" si="2"/>
        <v>0</v>
      </c>
      <c r="H42" s="910"/>
      <c r="I42" s="900"/>
      <c r="J42" s="882">
        <f t="shared" si="3"/>
        <v>0</v>
      </c>
      <c r="K42" s="901"/>
      <c r="L42" s="900"/>
      <c r="M42" s="882">
        <f t="shared" si="4"/>
        <v>0</v>
      </c>
      <c r="N42" s="901"/>
      <c r="O42" s="1150">
        <f t="shared" si="5"/>
        <v>0</v>
      </c>
      <c r="P42" s="1151">
        <f t="shared" si="5"/>
        <v>0</v>
      </c>
      <c r="Q42" s="1151">
        <f t="shared" si="14"/>
        <v>0</v>
      </c>
      <c r="R42" s="916" t="e">
        <f t="shared" si="7"/>
        <v>#DIV/0!</v>
      </c>
    </row>
    <row r="43" spans="1:18" hidden="1">
      <c r="A43" s="322" t="s">
        <v>291</v>
      </c>
      <c r="B43" s="892"/>
      <c r="C43" s="900"/>
      <c r="D43" s="882">
        <f t="shared" si="1"/>
        <v>0</v>
      </c>
      <c r="E43" s="901"/>
      <c r="F43" s="909"/>
      <c r="G43" s="325">
        <f t="shared" si="2"/>
        <v>0</v>
      </c>
      <c r="H43" s="910"/>
      <c r="I43" s="900"/>
      <c r="J43" s="882">
        <f t="shared" si="3"/>
        <v>0</v>
      </c>
      <c r="K43" s="901"/>
      <c r="L43" s="900"/>
      <c r="M43" s="882">
        <f t="shared" si="4"/>
        <v>0</v>
      </c>
      <c r="N43" s="901"/>
      <c r="O43" s="1150">
        <f t="shared" si="5"/>
        <v>0</v>
      </c>
      <c r="P43" s="1151">
        <f t="shared" si="5"/>
        <v>0</v>
      </c>
      <c r="Q43" s="1151">
        <f t="shared" si="14"/>
        <v>0</v>
      </c>
      <c r="R43" s="916" t="e">
        <f t="shared" si="7"/>
        <v>#DIV/0!</v>
      </c>
    </row>
    <row r="44" spans="1:18" hidden="1">
      <c r="A44" s="322" t="s">
        <v>292</v>
      </c>
      <c r="B44" s="892"/>
      <c r="C44" s="900"/>
      <c r="D44" s="882">
        <f t="shared" si="1"/>
        <v>0</v>
      </c>
      <c r="E44" s="901"/>
      <c r="F44" s="909"/>
      <c r="G44" s="325">
        <f t="shared" si="2"/>
        <v>0</v>
      </c>
      <c r="H44" s="910"/>
      <c r="I44" s="900"/>
      <c r="J44" s="882">
        <f t="shared" si="3"/>
        <v>0</v>
      </c>
      <c r="K44" s="901"/>
      <c r="L44" s="900"/>
      <c r="M44" s="882">
        <f t="shared" si="4"/>
        <v>0</v>
      </c>
      <c r="N44" s="901"/>
      <c r="O44" s="1150">
        <f t="shared" si="5"/>
        <v>0</v>
      </c>
      <c r="P44" s="1151">
        <f t="shared" si="5"/>
        <v>0</v>
      </c>
      <c r="Q44" s="1151">
        <f t="shared" si="14"/>
        <v>0</v>
      </c>
      <c r="R44" s="916" t="e">
        <f t="shared" si="7"/>
        <v>#DIV/0!</v>
      </c>
    </row>
    <row r="45" spans="1:18" hidden="1">
      <c r="A45" s="322" t="s">
        <v>293</v>
      </c>
      <c r="B45" s="892"/>
      <c r="C45" s="900"/>
      <c r="D45" s="882">
        <f t="shared" si="1"/>
        <v>0</v>
      </c>
      <c r="E45" s="901"/>
      <c r="F45" s="909"/>
      <c r="G45" s="325">
        <f t="shared" si="2"/>
        <v>0</v>
      </c>
      <c r="H45" s="910"/>
      <c r="I45" s="900"/>
      <c r="J45" s="882">
        <f t="shared" si="3"/>
        <v>0</v>
      </c>
      <c r="K45" s="901"/>
      <c r="L45" s="900"/>
      <c r="M45" s="882">
        <f t="shared" si="4"/>
        <v>0</v>
      </c>
      <c r="N45" s="901"/>
      <c r="O45" s="1150">
        <f t="shared" si="5"/>
        <v>0</v>
      </c>
      <c r="P45" s="1151">
        <f t="shared" si="5"/>
        <v>0</v>
      </c>
      <c r="Q45" s="1151">
        <f t="shared" si="14"/>
        <v>0</v>
      </c>
      <c r="R45" s="916" t="e">
        <f t="shared" si="7"/>
        <v>#DIV/0!</v>
      </c>
    </row>
    <row r="46" spans="1:18" hidden="1">
      <c r="A46" s="322" t="s">
        <v>294</v>
      </c>
      <c r="B46" s="892"/>
      <c r="C46" s="900"/>
      <c r="D46" s="882">
        <f t="shared" si="1"/>
        <v>0</v>
      </c>
      <c r="E46" s="901"/>
      <c r="F46" s="909"/>
      <c r="G46" s="325">
        <f t="shared" si="2"/>
        <v>0</v>
      </c>
      <c r="H46" s="910"/>
      <c r="I46" s="900"/>
      <c r="J46" s="882">
        <f t="shared" si="3"/>
        <v>0</v>
      </c>
      <c r="K46" s="901"/>
      <c r="L46" s="900"/>
      <c r="M46" s="882">
        <f t="shared" si="4"/>
        <v>0</v>
      </c>
      <c r="N46" s="901"/>
      <c r="O46" s="1150">
        <f t="shared" si="5"/>
        <v>0</v>
      </c>
      <c r="P46" s="1151">
        <f t="shared" si="5"/>
        <v>0</v>
      </c>
      <c r="Q46" s="1151">
        <f t="shared" si="14"/>
        <v>0</v>
      </c>
      <c r="R46" s="916" t="e">
        <f t="shared" si="7"/>
        <v>#DIV/0!</v>
      </c>
    </row>
    <row r="47" spans="1:18" s="524" customFormat="1" ht="14.25" customHeight="1">
      <c r="A47" s="885" t="s">
        <v>295</v>
      </c>
      <c r="B47" s="893"/>
      <c r="C47" s="900">
        <v>36400</v>
      </c>
      <c r="D47" s="883">
        <f t="shared" si="1"/>
        <v>36400</v>
      </c>
      <c r="E47" s="901">
        <v>2145</v>
      </c>
      <c r="F47" s="909"/>
      <c r="G47" s="327"/>
      <c r="H47" s="910"/>
      <c r="I47" s="900"/>
      <c r="J47" s="883">
        <f t="shared" si="3"/>
        <v>0</v>
      </c>
      <c r="K47" s="901"/>
      <c r="L47" s="900">
        <v>200000</v>
      </c>
      <c r="M47" s="883">
        <f t="shared" si="4"/>
        <v>200000</v>
      </c>
      <c r="N47" s="901">
        <v>63031</v>
      </c>
      <c r="O47" s="1150">
        <f t="shared" si="5"/>
        <v>236400</v>
      </c>
      <c r="P47" s="1151">
        <f t="shared" si="5"/>
        <v>236400</v>
      </c>
      <c r="Q47" s="1151">
        <f t="shared" si="14"/>
        <v>65176</v>
      </c>
      <c r="R47" s="917">
        <f t="shared" si="7"/>
        <v>0.27570219966159054</v>
      </c>
    </row>
    <row r="48" spans="1:18" hidden="1">
      <c r="A48" s="894" t="s">
        <v>476</v>
      </c>
      <c r="B48" s="892"/>
      <c r="C48" s="900"/>
      <c r="D48" s="882">
        <f t="shared" si="1"/>
        <v>0</v>
      </c>
      <c r="E48" s="901"/>
      <c r="F48" s="909"/>
      <c r="G48" s="325">
        <f t="shared" si="2"/>
        <v>0</v>
      </c>
      <c r="H48" s="910"/>
      <c r="I48" s="900"/>
      <c r="J48" s="882">
        <f t="shared" si="3"/>
        <v>0</v>
      </c>
      <c r="K48" s="901"/>
      <c r="L48" s="900"/>
      <c r="M48" s="882">
        <f t="shared" si="4"/>
        <v>0</v>
      </c>
      <c r="N48" s="901"/>
      <c r="O48" s="1150">
        <f t="shared" si="5"/>
        <v>0</v>
      </c>
      <c r="P48" s="1151">
        <f t="shared" si="5"/>
        <v>0</v>
      </c>
      <c r="Q48" s="1151">
        <f t="shared" si="14"/>
        <v>0</v>
      </c>
      <c r="R48" s="916" t="e">
        <f t="shared" si="7"/>
        <v>#DIV/0!</v>
      </c>
    </row>
    <row r="49" spans="1:18" ht="26.25" hidden="1">
      <c r="A49" s="894" t="s">
        <v>647</v>
      </c>
      <c r="B49" s="892"/>
      <c r="C49" s="900"/>
      <c r="D49" s="882">
        <f t="shared" si="1"/>
        <v>0</v>
      </c>
      <c r="E49" s="901"/>
      <c r="F49" s="909"/>
      <c r="G49" s="325">
        <f t="shared" si="2"/>
        <v>0</v>
      </c>
      <c r="H49" s="910"/>
      <c r="I49" s="900"/>
      <c r="J49" s="882">
        <f t="shared" si="3"/>
        <v>0</v>
      </c>
      <c r="K49" s="901"/>
      <c r="L49" s="900"/>
      <c r="M49" s="882">
        <f t="shared" si="4"/>
        <v>0</v>
      </c>
      <c r="N49" s="901"/>
      <c r="O49" s="1150">
        <f t="shared" si="5"/>
        <v>0</v>
      </c>
      <c r="P49" s="1151">
        <f t="shared" si="5"/>
        <v>0</v>
      </c>
      <c r="Q49" s="1151">
        <f t="shared" si="14"/>
        <v>0</v>
      </c>
      <c r="R49" s="916" t="e">
        <f t="shared" si="7"/>
        <v>#DIV/0!</v>
      </c>
    </row>
    <row r="50" spans="1:18" hidden="1">
      <c r="A50" s="894" t="s">
        <v>478</v>
      </c>
      <c r="B50" s="892"/>
      <c r="C50" s="900"/>
      <c r="D50" s="882">
        <f t="shared" si="1"/>
        <v>0</v>
      </c>
      <c r="E50" s="901"/>
      <c r="F50" s="909"/>
      <c r="G50" s="325">
        <f t="shared" si="2"/>
        <v>0</v>
      </c>
      <c r="H50" s="910"/>
      <c r="I50" s="900"/>
      <c r="J50" s="882">
        <f t="shared" si="3"/>
        <v>0</v>
      </c>
      <c r="K50" s="901"/>
      <c r="L50" s="900"/>
      <c r="M50" s="882">
        <f t="shared" si="4"/>
        <v>0</v>
      </c>
      <c r="N50" s="901"/>
      <c r="O50" s="1150">
        <f t="shared" si="5"/>
        <v>0</v>
      </c>
      <c r="P50" s="1151">
        <f t="shared" si="5"/>
        <v>0</v>
      </c>
      <c r="Q50" s="1151">
        <f t="shared" si="14"/>
        <v>0</v>
      </c>
      <c r="R50" s="916" t="e">
        <f t="shared" si="7"/>
        <v>#DIV/0!</v>
      </c>
    </row>
    <row r="51" spans="1:18" hidden="1">
      <c r="A51" s="894" t="s">
        <v>479</v>
      </c>
      <c r="B51" s="892"/>
      <c r="C51" s="900"/>
      <c r="D51" s="882">
        <f t="shared" si="1"/>
        <v>0</v>
      </c>
      <c r="E51" s="901"/>
      <c r="F51" s="909"/>
      <c r="G51" s="325">
        <f t="shared" si="2"/>
        <v>0</v>
      </c>
      <c r="H51" s="910"/>
      <c r="I51" s="900"/>
      <c r="J51" s="882">
        <f t="shared" si="3"/>
        <v>0</v>
      </c>
      <c r="K51" s="901"/>
      <c r="L51" s="900"/>
      <c r="M51" s="882">
        <f t="shared" si="4"/>
        <v>0</v>
      </c>
      <c r="N51" s="901"/>
      <c r="O51" s="1150">
        <f t="shared" si="5"/>
        <v>0</v>
      </c>
      <c r="P51" s="1151">
        <f t="shared" si="5"/>
        <v>0</v>
      </c>
      <c r="Q51" s="1151">
        <f t="shared" si="14"/>
        <v>0</v>
      </c>
      <c r="R51" s="916" t="e">
        <f t="shared" si="7"/>
        <v>#DIV/0!</v>
      </c>
    </row>
    <row r="52" spans="1:18">
      <c r="A52" s="323" t="s">
        <v>87</v>
      </c>
      <c r="B52" s="891" t="s">
        <v>88</v>
      </c>
      <c r="C52" s="898">
        <f>SUM(C29,C33:C37,C41)</f>
        <v>66400</v>
      </c>
      <c r="D52" s="883">
        <f>SUM(D29,D33:D37,D41)</f>
        <v>66400</v>
      </c>
      <c r="E52" s="899">
        <f t="shared" ref="E52:N52" si="18">SUM(E29,E33:E37,E41)</f>
        <v>2145</v>
      </c>
      <c r="F52" s="907">
        <f>SUM(F41,F37,F36,F35,F34,F33,F29)</f>
        <v>0</v>
      </c>
      <c r="G52" s="325">
        <f t="shared" si="2"/>
        <v>0</v>
      </c>
      <c r="H52" s="908">
        <f>SUM(H41,H37,H36,H35,H34,H33,H29)</f>
        <v>0</v>
      </c>
      <c r="I52" s="898">
        <f t="shared" si="18"/>
        <v>2552000</v>
      </c>
      <c r="J52" s="882">
        <f t="shared" si="3"/>
        <v>2552000</v>
      </c>
      <c r="K52" s="899">
        <f t="shared" si="18"/>
        <v>853600</v>
      </c>
      <c r="L52" s="898">
        <f>SUM(L29,L33:L37,L41)</f>
        <v>600000</v>
      </c>
      <c r="M52" s="883">
        <f>SUM(M29,M33:M37,M41)</f>
        <v>600000</v>
      </c>
      <c r="N52" s="899">
        <f t="shared" si="18"/>
        <v>163512</v>
      </c>
      <c r="O52" s="1150">
        <f t="shared" si="5"/>
        <v>3218400</v>
      </c>
      <c r="P52" s="1151">
        <f t="shared" si="5"/>
        <v>3218400</v>
      </c>
      <c r="Q52" s="1151">
        <f t="shared" si="14"/>
        <v>1019257</v>
      </c>
      <c r="R52" s="916">
        <f t="shared" si="7"/>
        <v>0.31669680586626897</v>
      </c>
    </row>
    <row r="53" spans="1:18">
      <c r="A53" s="323" t="s">
        <v>296</v>
      </c>
      <c r="B53" s="891" t="s">
        <v>90</v>
      </c>
      <c r="C53" s="900">
        <v>120000</v>
      </c>
      <c r="D53" s="882">
        <f t="shared" si="1"/>
        <v>120000</v>
      </c>
      <c r="E53" s="901">
        <v>13275</v>
      </c>
      <c r="F53" s="909">
        <v>0</v>
      </c>
      <c r="G53" s="325">
        <f t="shared" si="2"/>
        <v>0</v>
      </c>
      <c r="H53" s="910">
        <v>0</v>
      </c>
      <c r="I53" s="900"/>
      <c r="J53" s="882">
        <f t="shared" si="3"/>
        <v>0</v>
      </c>
      <c r="K53" s="901"/>
      <c r="L53" s="900">
        <v>0</v>
      </c>
      <c r="M53" s="882">
        <f t="shared" si="4"/>
        <v>0</v>
      </c>
      <c r="N53" s="901"/>
      <c r="O53" s="1150">
        <f t="shared" si="5"/>
        <v>120000</v>
      </c>
      <c r="P53" s="1151">
        <f t="shared" si="5"/>
        <v>120000</v>
      </c>
      <c r="Q53" s="1151">
        <f t="shared" si="14"/>
        <v>13275</v>
      </c>
      <c r="R53" s="916">
        <f t="shared" si="7"/>
        <v>0.110625</v>
      </c>
    </row>
    <row r="54" spans="1:18" ht="25.5" hidden="1">
      <c r="A54" s="323" t="s">
        <v>297</v>
      </c>
      <c r="B54" s="891" t="s">
        <v>92</v>
      </c>
      <c r="C54" s="900"/>
      <c r="D54" s="882">
        <f t="shared" si="1"/>
        <v>0</v>
      </c>
      <c r="E54" s="901"/>
      <c r="F54" s="909"/>
      <c r="G54" s="325">
        <f t="shared" si="2"/>
        <v>0</v>
      </c>
      <c r="H54" s="910"/>
      <c r="I54" s="900"/>
      <c r="J54" s="882">
        <f t="shared" si="3"/>
        <v>0</v>
      </c>
      <c r="K54" s="901"/>
      <c r="L54" s="900"/>
      <c r="M54" s="882">
        <f t="shared" si="4"/>
        <v>0</v>
      </c>
      <c r="N54" s="901"/>
      <c r="O54" s="1150">
        <f t="shared" si="5"/>
        <v>0</v>
      </c>
      <c r="P54" s="1151">
        <f t="shared" si="5"/>
        <v>0</v>
      </c>
      <c r="Q54" s="1151">
        <f t="shared" si="14"/>
        <v>0</v>
      </c>
      <c r="R54" s="916" t="e">
        <f t="shared" si="7"/>
        <v>#DIV/0!</v>
      </c>
    </row>
    <row r="55" spans="1:18" s="524" customFormat="1" ht="26.25">
      <c r="A55" s="886" t="s">
        <v>93</v>
      </c>
      <c r="B55" s="891" t="s">
        <v>94</v>
      </c>
      <c r="C55" s="898">
        <f>SUM(C53:C54)</f>
        <v>120000</v>
      </c>
      <c r="D55" s="883">
        <f t="shared" si="1"/>
        <v>120000</v>
      </c>
      <c r="E55" s="899">
        <f>SUM(E53:E54)</f>
        <v>13275</v>
      </c>
      <c r="F55" s="907">
        <v>0</v>
      </c>
      <c r="G55" s="327">
        <f t="shared" si="2"/>
        <v>0</v>
      </c>
      <c r="H55" s="908">
        <f>SUM(H53:H54)</f>
        <v>0</v>
      </c>
      <c r="I55" s="898">
        <f>SUM(I53:I54)</f>
        <v>0</v>
      </c>
      <c r="J55" s="883">
        <f t="shared" si="3"/>
        <v>0</v>
      </c>
      <c r="K55" s="899"/>
      <c r="L55" s="898">
        <f>SUM(L53:L54)</f>
        <v>0</v>
      </c>
      <c r="M55" s="883">
        <f t="shared" si="4"/>
        <v>0</v>
      </c>
      <c r="N55" s="899"/>
      <c r="O55" s="1150">
        <f t="shared" si="5"/>
        <v>120000</v>
      </c>
      <c r="P55" s="1151">
        <f t="shared" si="5"/>
        <v>120000</v>
      </c>
      <c r="Q55" s="1151">
        <f t="shared" si="14"/>
        <v>13275</v>
      </c>
      <c r="R55" s="917">
        <f t="shared" si="7"/>
        <v>0.110625</v>
      </c>
    </row>
    <row r="56" spans="1:18" s="524" customFormat="1" ht="23.25" customHeight="1">
      <c r="A56" s="886" t="s">
        <v>298</v>
      </c>
      <c r="B56" s="891" t="s">
        <v>96</v>
      </c>
      <c r="C56" s="898">
        <f>SUM(C57:C58)</f>
        <v>42228</v>
      </c>
      <c r="D56" s="883">
        <f t="shared" si="1"/>
        <v>42228</v>
      </c>
      <c r="E56" s="899">
        <f t="shared" ref="E56:L56" si="19">SUM(E57:E58)</f>
        <v>20879</v>
      </c>
      <c r="F56" s="907">
        <v>0</v>
      </c>
      <c r="G56" s="327">
        <f t="shared" si="2"/>
        <v>0</v>
      </c>
      <c r="H56" s="908">
        <f>SUM(H58)</f>
        <v>0</v>
      </c>
      <c r="I56" s="898">
        <f>SUM(I57:I58)</f>
        <v>162326</v>
      </c>
      <c r="J56" s="883">
        <f t="shared" ref="J56:K56" si="20">SUM(J57:J58)</f>
        <v>162326</v>
      </c>
      <c r="K56" s="899">
        <f t="shared" si="20"/>
        <v>190</v>
      </c>
      <c r="L56" s="898">
        <f t="shared" si="19"/>
        <v>207900</v>
      </c>
      <c r="M56" s="883">
        <f t="shared" si="4"/>
        <v>207900</v>
      </c>
      <c r="N56" s="899">
        <f t="shared" ref="N56" si="21">SUM(N57:N58)</f>
        <v>41543</v>
      </c>
      <c r="O56" s="1150">
        <f t="shared" si="5"/>
        <v>412454</v>
      </c>
      <c r="P56" s="1151">
        <f t="shared" si="5"/>
        <v>412454</v>
      </c>
      <c r="Q56" s="1151">
        <f t="shared" si="14"/>
        <v>62612</v>
      </c>
      <c r="R56" s="917">
        <f t="shared" si="7"/>
        <v>0.15180359506757118</v>
      </c>
    </row>
    <row r="57" spans="1:18">
      <c r="A57" s="322" t="s">
        <v>299</v>
      </c>
      <c r="B57" s="891"/>
      <c r="C57" s="900">
        <v>0</v>
      </c>
      <c r="D57" s="882">
        <f t="shared" si="1"/>
        <v>0</v>
      </c>
      <c r="E57" s="901"/>
      <c r="F57" s="909"/>
      <c r="G57" s="325"/>
      <c r="H57" s="910"/>
      <c r="I57" s="900"/>
      <c r="J57" s="882">
        <f t="shared" si="3"/>
        <v>0</v>
      </c>
      <c r="K57" s="901"/>
      <c r="L57" s="900"/>
      <c r="M57" s="882"/>
      <c r="N57" s="901"/>
      <c r="O57" s="1150">
        <f t="shared" si="5"/>
        <v>0</v>
      </c>
      <c r="P57" s="1151">
        <f t="shared" si="5"/>
        <v>0</v>
      </c>
      <c r="Q57" s="1151">
        <f t="shared" si="14"/>
        <v>0</v>
      </c>
      <c r="R57" s="916" t="e">
        <f t="shared" si="7"/>
        <v>#DIV/0!</v>
      </c>
    </row>
    <row r="58" spans="1:18">
      <c r="A58" s="322" t="s">
        <v>300</v>
      </c>
      <c r="B58" s="891"/>
      <c r="C58" s="900">
        <v>42228</v>
      </c>
      <c r="D58" s="882">
        <f t="shared" si="1"/>
        <v>42228</v>
      </c>
      <c r="E58" s="901">
        <v>20879</v>
      </c>
      <c r="F58" s="909"/>
      <c r="G58" s="325"/>
      <c r="H58" s="910"/>
      <c r="I58" s="900">
        <v>162326</v>
      </c>
      <c r="J58" s="882">
        <f t="shared" si="3"/>
        <v>162326</v>
      </c>
      <c r="K58" s="901">
        <v>190</v>
      </c>
      <c r="L58" s="900">
        <v>207900</v>
      </c>
      <c r="M58" s="882">
        <f t="shared" si="4"/>
        <v>207900</v>
      </c>
      <c r="N58" s="901">
        <v>41543</v>
      </c>
      <c r="O58" s="1150">
        <f t="shared" si="5"/>
        <v>412454</v>
      </c>
      <c r="P58" s="1151">
        <f>SUM(D58,J58,M58,G58)</f>
        <v>412454</v>
      </c>
      <c r="Q58" s="1151">
        <f t="shared" si="14"/>
        <v>62612</v>
      </c>
      <c r="R58" s="916">
        <f t="shared" si="7"/>
        <v>0.15180359506757118</v>
      </c>
    </row>
    <row r="59" spans="1:18" ht="25.5" hidden="1">
      <c r="A59" s="323" t="s">
        <v>301</v>
      </c>
      <c r="B59" s="891" t="s">
        <v>98</v>
      </c>
      <c r="C59" s="900"/>
      <c r="D59" s="882">
        <f t="shared" si="1"/>
        <v>0</v>
      </c>
      <c r="E59" s="901"/>
      <c r="F59" s="909"/>
      <c r="G59" s="325">
        <f t="shared" si="2"/>
        <v>0</v>
      </c>
      <c r="H59" s="910"/>
      <c r="I59" s="900"/>
      <c r="J59" s="882">
        <f t="shared" si="3"/>
        <v>0</v>
      </c>
      <c r="K59" s="901"/>
      <c r="L59" s="900"/>
      <c r="M59" s="882">
        <f t="shared" si="4"/>
        <v>0</v>
      </c>
      <c r="N59" s="901"/>
      <c r="O59" s="1150">
        <f t="shared" si="5"/>
        <v>0</v>
      </c>
      <c r="P59" s="1151">
        <f t="shared" si="5"/>
        <v>0</v>
      </c>
      <c r="Q59" s="1151">
        <f t="shared" si="14"/>
        <v>0</v>
      </c>
      <c r="R59" s="916" t="e">
        <f t="shared" si="7"/>
        <v>#DIV/0!</v>
      </c>
    </row>
    <row r="60" spans="1:18" hidden="1">
      <c r="A60" s="323" t="s">
        <v>99</v>
      </c>
      <c r="B60" s="891" t="s">
        <v>100</v>
      </c>
      <c r="C60" s="900"/>
      <c r="D60" s="882">
        <f t="shared" si="1"/>
        <v>0</v>
      </c>
      <c r="E60" s="901"/>
      <c r="F60" s="909"/>
      <c r="G60" s="325">
        <f t="shared" si="2"/>
        <v>0</v>
      </c>
      <c r="H60" s="910"/>
      <c r="I60" s="900"/>
      <c r="J60" s="882">
        <f t="shared" si="3"/>
        <v>0</v>
      </c>
      <c r="K60" s="901"/>
      <c r="L60" s="900"/>
      <c r="M60" s="882">
        <f t="shared" si="4"/>
        <v>0</v>
      </c>
      <c r="N60" s="901"/>
      <c r="O60" s="1150">
        <f t="shared" si="5"/>
        <v>0</v>
      </c>
      <c r="P60" s="1151">
        <f t="shared" si="5"/>
        <v>0</v>
      </c>
      <c r="Q60" s="1151">
        <f t="shared" si="14"/>
        <v>0</v>
      </c>
      <c r="R60" s="916" t="e">
        <f t="shared" si="7"/>
        <v>#DIV/0!</v>
      </c>
    </row>
    <row r="61" spans="1:18">
      <c r="A61" s="323" t="s">
        <v>302</v>
      </c>
      <c r="B61" s="891" t="s">
        <v>104</v>
      </c>
      <c r="C61" s="898">
        <f>SUM(C62:C64)</f>
        <v>0</v>
      </c>
      <c r="D61" s="882">
        <f t="shared" si="1"/>
        <v>0</v>
      </c>
      <c r="E61" s="899"/>
      <c r="F61" s="907">
        <v>0</v>
      </c>
      <c r="G61" s="325">
        <f t="shared" si="2"/>
        <v>0</v>
      </c>
      <c r="H61" s="908"/>
      <c r="I61" s="898">
        <f>SUM(I62:I64)</f>
        <v>0</v>
      </c>
      <c r="J61" s="882">
        <f t="shared" si="3"/>
        <v>0</v>
      </c>
      <c r="K61" s="899"/>
      <c r="L61" s="898">
        <f>SUM(L62:L64)</f>
        <v>0</v>
      </c>
      <c r="M61" s="882">
        <f t="shared" si="4"/>
        <v>0</v>
      </c>
      <c r="N61" s="899">
        <v>9003</v>
      </c>
      <c r="O61" s="1150">
        <f t="shared" si="5"/>
        <v>0</v>
      </c>
      <c r="P61" s="1151">
        <f t="shared" si="5"/>
        <v>0</v>
      </c>
      <c r="Q61" s="1151">
        <f t="shared" si="14"/>
        <v>9003</v>
      </c>
      <c r="R61" s="916" t="e">
        <f t="shared" si="7"/>
        <v>#DIV/0!</v>
      </c>
    </row>
    <row r="62" spans="1:18" hidden="1">
      <c r="A62" s="322" t="s">
        <v>303</v>
      </c>
      <c r="B62" s="891"/>
      <c r="C62" s="900"/>
      <c r="D62" s="882">
        <f t="shared" si="1"/>
        <v>0</v>
      </c>
      <c r="E62" s="901"/>
      <c r="F62" s="909"/>
      <c r="G62" s="325">
        <f t="shared" si="2"/>
        <v>0</v>
      </c>
      <c r="H62" s="910"/>
      <c r="I62" s="900"/>
      <c r="J62" s="882">
        <f t="shared" si="3"/>
        <v>0</v>
      </c>
      <c r="K62" s="901"/>
      <c r="L62" s="900"/>
      <c r="M62" s="882">
        <f t="shared" si="4"/>
        <v>0</v>
      </c>
      <c r="N62" s="901"/>
      <c r="O62" s="1150">
        <f t="shared" si="5"/>
        <v>0</v>
      </c>
      <c r="P62" s="1151">
        <f t="shared" si="5"/>
        <v>0</v>
      </c>
      <c r="Q62" s="1151">
        <f t="shared" si="14"/>
        <v>0</v>
      </c>
      <c r="R62" s="916" t="e">
        <f t="shared" si="7"/>
        <v>#DIV/0!</v>
      </c>
    </row>
    <row r="63" spans="1:18" hidden="1">
      <c r="A63" s="322" t="s">
        <v>304</v>
      </c>
      <c r="B63" s="891"/>
      <c r="C63" s="900"/>
      <c r="D63" s="882">
        <f t="shared" si="1"/>
        <v>0</v>
      </c>
      <c r="E63" s="901"/>
      <c r="F63" s="909"/>
      <c r="G63" s="325">
        <f t="shared" si="2"/>
        <v>0</v>
      </c>
      <c r="H63" s="910"/>
      <c r="I63" s="900"/>
      <c r="J63" s="882">
        <f t="shared" si="3"/>
        <v>0</v>
      </c>
      <c r="K63" s="901"/>
      <c r="L63" s="900"/>
      <c r="M63" s="882">
        <f t="shared" si="4"/>
        <v>0</v>
      </c>
      <c r="N63" s="901"/>
      <c r="O63" s="1150">
        <f t="shared" si="5"/>
        <v>0</v>
      </c>
      <c r="P63" s="1151">
        <f t="shared" si="5"/>
        <v>0</v>
      </c>
      <c r="Q63" s="1151">
        <f t="shared" si="14"/>
        <v>0</v>
      </c>
      <c r="R63" s="916" t="e">
        <f t="shared" si="7"/>
        <v>#DIV/0!</v>
      </c>
    </row>
    <row r="64" spans="1:18" hidden="1">
      <c r="A64" s="322" t="s">
        <v>302</v>
      </c>
      <c r="B64" s="891"/>
      <c r="C64" s="900"/>
      <c r="D64" s="882">
        <f t="shared" si="1"/>
        <v>0</v>
      </c>
      <c r="E64" s="901"/>
      <c r="F64" s="909"/>
      <c r="G64" s="325">
        <f t="shared" si="2"/>
        <v>0</v>
      </c>
      <c r="H64" s="910"/>
      <c r="I64" s="900"/>
      <c r="J64" s="882">
        <f t="shared" si="3"/>
        <v>0</v>
      </c>
      <c r="K64" s="901"/>
      <c r="L64" s="900"/>
      <c r="M64" s="882">
        <f t="shared" si="4"/>
        <v>0</v>
      </c>
      <c r="N64" s="901"/>
      <c r="O64" s="1150">
        <f t="shared" si="5"/>
        <v>0</v>
      </c>
      <c r="P64" s="1151">
        <f t="shared" si="5"/>
        <v>0</v>
      </c>
      <c r="Q64" s="1151">
        <f t="shared" si="14"/>
        <v>0</v>
      </c>
      <c r="R64" s="916" t="e">
        <f t="shared" si="7"/>
        <v>#DIV/0!</v>
      </c>
    </row>
    <row r="65" spans="1:18" s="524" customFormat="1" ht="26.25">
      <c r="A65" s="886" t="s">
        <v>305</v>
      </c>
      <c r="B65" s="891" t="s">
        <v>110</v>
      </c>
      <c r="C65" s="898">
        <f>SUM(C61,C56,C59,C60)</f>
        <v>42228</v>
      </c>
      <c r="D65" s="883">
        <f t="shared" si="1"/>
        <v>42228</v>
      </c>
      <c r="E65" s="899">
        <f t="shared" ref="E65:N65" si="22">SUM(E61,E56,E59,E60)</f>
        <v>20879</v>
      </c>
      <c r="F65" s="907">
        <v>0</v>
      </c>
      <c r="G65" s="327">
        <f t="shared" si="2"/>
        <v>0</v>
      </c>
      <c r="H65" s="908">
        <f>SUM(H56,H61)</f>
        <v>0</v>
      </c>
      <c r="I65" s="898">
        <f t="shared" si="22"/>
        <v>162326</v>
      </c>
      <c r="J65" s="883">
        <f t="shared" si="3"/>
        <v>162326</v>
      </c>
      <c r="K65" s="899">
        <f t="shared" si="22"/>
        <v>190</v>
      </c>
      <c r="L65" s="898">
        <f t="shared" si="22"/>
        <v>207900</v>
      </c>
      <c r="M65" s="883">
        <f t="shared" si="4"/>
        <v>207900</v>
      </c>
      <c r="N65" s="899">
        <f t="shared" si="22"/>
        <v>50546</v>
      </c>
      <c r="O65" s="1150">
        <f t="shared" si="5"/>
        <v>412454</v>
      </c>
      <c r="P65" s="1151">
        <f t="shared" si="5"/>
        <v>412454</v>
      </c>
      <c r="Q65" s="1151">
        <f t="shared" si="14"/>
        <v>71615</v>
      </c>
      <c r="R65" s="917">
        <f t="shared" si="7"/>
        <v>0.17363148375333975</v>
      </c>
    </row>
    <row r="66" spans="1:18" ht="15.75" thickBot="1">
      <c r="A66" s="328" t="s">
        <v>306</v>
      </c>
      <c r="B66" s="895" t="s">
        <v>112</v>
      </c>
      <c r="C66" s="898">
        <f>SUM(C65,C55,C52,C28,C19)</f>
        <v>458628</v>
      </c>
      <c r="D66" s="882">
        <f t="shared" si="1"/>
        <v>458628</v>
      </c>
      <c r="E66" s="899">
        <f t="shared" ref="E66:N66" si="23">SUM(E65,E55,E52,E28,E19)</f>
        <v>113625</v>
      </c>
      <c r="F66" s="907">
        <v>0</v>
      </c>
      <c r="G66" s="325">
        <f t="shared" si="2"/>
        <v>0</v>
      </c>
      <c r="H66" s="908">
        <f>SUM(H65,H55,H52,H28,H19)</f>
        <v>0</v>
      </c>
      <c r="I66" s="898">
        <f>SUM(I65,I55,I52,I28,I19)</f>
        <v>3315535</v>
      </c>
      <c r="J66" s="882">
        <f t="shared" si="3"/>
        <v>3315535</v>
      </c>
      <c r="K66" s="899">
        <f t="shared" si="23"/>
        <v>857590</v>
      </c>
      <c r="L66" s="898">
        <f>SUM(L65,L55,L52,L28,L19)</f>
        <v>977900</v>
      </c>
      <c r="M66" s="882">
        <f t="shared" si="4"/>
        <v>977900</v>
      </c>
      <c r="N66" s="899">
        <f t="shared" si="23"/>
        <v>224997</v>
      </c>
      <c r="O66" s="1150">
        <f t="shared" si="5"/>
        <v>4752063</v>
      </c>
      <c r="P66" s="1151">
        <f>SUM(D66,J66,M66,G66)</f>
        <v>4752063</v>
      </c>
      <c r="Q66" s="1151">
        <f t="shared" si="14"/>
        <v>1196212</v>
      </c>
      <c r="R66" s="916">
        <f t="shared" si="7"/>
        <v>0.25172477721781045</v>
      </c>
    </row>
    <row r="67" spans="1:18" ht="15.75" thickBot="1">
      <c r="A67" s="1299" t="s">
        <v>153</v>
      </c>
      <c r="B67" s="1300"/>
      <c r="C67" s="902">
        <f>SUM(C8:C13,C66)</f>
        <v>9167906</v>
      </c>
      <c r="D67" s="903">
        <f t="shared" si="1"/>
        <v>9167906</v>
      </c>
      <c r="E67" s="904">
        <f>SUM(E8:E13,E66)</f>
        <v>3617227</v>
      </c>
      <c r="F67" s="911">
        <v>0</v>
      </c>
      <c r="G67" s="912">
        <f t="shared" si="2"/>
        <v>0</v>
      </c>
      <c r="H67" s="913">
        <f>SUM(H8:H13,H66)</f>
        <v>0</v>
      </c>
      <c r="I67" s="902">
        <f t="shared" ref="I67" si="24">SUM(I8:I13,I66)</f>
        <v>3315535</v>
      </c>
      <c r="J67" s="903">
        <f t="shared" si="3"/>
        <v>3315535</v>
      </c>
      <c r="K67" s="904">
        <f t="shared" ref="K67" si="25">SUM(K8:K13,K66)</f>
        <v>857590</v>
      </c>
      <c r="L67" s="902">
        <f>SUM(L8:L13,L66)</f>
        <v>2537300</v>
      </c>
      <c r="M67" s="903">
        <f t="shared" si="4"/>
        <v>2537300</v>
      </c>
      <c r="N67" s="904">
        <f>SUM(N8:N13,N66)</f>
        <v>869860</v>
      </c>
      <c r="O67" s="1152">
        <f t="shared" si="5"/>
        <v>15020741</v>
      </c>
      <c r="P67" s="1153">
        <f>SUM(D67,J67,M67,G67)</f>
        <v>15020741</v>
      </c>
      <c r="Q67" s="1153">
        <f t="shared" si="14"/>
        <v>5344677</v>
      </c>
      <c r="R67" s="918">
        <f t="shared" si="7"/>
        <v>0.35581979610726261</v>
      </c>
    </row>
  </sheetData>
  <mergeCells count="10">
    <mergeCell ref="A3:R3"/>
    <mergeCell ref="A67:B67"/>
    <mergeCell ref="A5:A7"/>
    <mergeCell ref="B5:B7"/>
    <mergeCell ref="C6:E6"/>
    <mergeCell ref="O5:R6"/>
    <mergeCell ref="F6:H6"/>
    <mergeCell ref="I6:K6"/>
    <mergeCell ref="L6:N6"/>
    <mergeCell ref="C5:N5"/>
  </mergeCells>
  <pageMargins left="0.70866141732283472" right="0.70866141732283472" top="0.74803149606299213" bottom="0.74803149606299213" header="0.31496062992125984" footer="0.31496062992125984"/>
  <pageSetup paperSize="8" scale="79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  <pageSetUpPr fitToPage="1"/>
  </sheetPr>
  <dimension ref="A1:O65"/>
  <sheetViews>
    <sheetView view="pageBreakPreview" zoomScale="120" zoomScaleNormal="100" zoomScaleSheetLayoutView="120" workbookViewId="0">
      <pane xSplit="2" ySplit="6" topLeftCell="C55" activePane="bottomRight" state="frozen"/>
      <selection pane="topRight" activeCell="C1" sqref="C1"/>
      <selection pane="bottomLeft" activeCell="A7" sqref="A7"/>
      <selection pane="bottomRight" activeCell="A67" sqref="A67"/>
    </sheetView>
  </sheetViews>
  <sheetFormatPr defaultColWidth="8.7109375" defaultRowHeight="15.75"/>
  <cols>
    <col min="1" max="1" width="22" style="535" customWidth="1"/>
    <col min="2" max="2" width="7.85546875" style="535" customWidth="1"/>
    <col min="3" max="3" width="13.140625" style="776" customWidth="1"/>
    <col min="4" max="7" width="13.42578125" style="776" bestFit="1" customWidth="1"/>
    <col min="8" max="8" width="12.5703125" style="776" customWidth="1"/>
    <col min="9" max="9" width="13.28515625" style="776" customWidth="1"/>
    <col min="10" max="10" width="13.42578125" style="776" bestFit="1" customWidth="1"/>
    <col min="11" max="11" width="12.85546875" style="776" customWidth="1"/>
    <col min="12" max="13" width="14.7109375" style="776" bestFit="1" customWidth="1"/>
    <col min="14" max="14" width="13.42578125" style="776" bestFit="1" customWidth="1"/>
    <col min="15" max="15" width="17.140625" style="535" customWidth="1"/>
    <col min="16" max="16384" width="8.7109375" style="535"/>
  </cols>
  <sheetData>
    <row r="1" spans="1:15">
      <c r="A1" s="535" t="s">
        <v>529</v>
      </c>
    </row>
    <row r="3" spans="1:15" ht="40.5" customHeight="1" thickBot="1">
      <c r="A3" s="1277" t="s">
        <v>976</v>
      </c>
      <c r="B3" s="1277"/>
      <c r="C3" s="1277"/>
      <c r="D3" s="1277"/>
      <c r="E3" s="1277"/>
      <c r="F3" s="1277"/>
      <c r="G3" s="1277"/>
      <c r="H3" s="1277"/>
      <c r="I3" s="1277"/>
      <c r="J3" s="714"/>
      <c r="K3" s="777"/>
    </row>
    <row r="4" spans="1:15" ht="15" customHeight="1" thickBot="1">
      <c r="A4" s="1326" t="s">
        <v>2</v>
      </c>
      <c r="B4" s="1328" t="s">
        <v>3</v>
      </c>
      <c r="C4" s="1323" t="s">
        <v>250</v>
      </c>
      <c r="D4" s="1324"/>
      <c r="E4" s="1324"/>
      <c r="F4" s="1324"/>
      <c r="G4" s="1324"/>
      <c r="H4" s="1324"/>
      <c r="I4" s="1324"/>
      <c r="J4" s="1324"/>
      <c r="K4" s="1324"/>
      <c r="L4" s="1324"/>
      <c r="M4" s="1324"/>
      <c r="N4" s="1324"/>
      <c r="O4" s="1325"/>
    </row>
    <row r="5" spans="1:15" ht="33.75" customHeight="1">
      <c r="A5" s="1327"/>
      <c r="B5" s="1329"/>
      <c r="C5" s="1330" t="s">
        <v>471</v>
      </c>
      <c r="D5" s="1331"/>
      <c r="E5" s="1332"/>
      <c r="F5" s="1330" t="s">
        <v>973</v>
      </c>
      <c r="G5" s="1331"/>
      <c r="H5" s="1332"/>
      <c r="I5" s="1330" t="s">
        <v>975</v>
      </c>
      <c r="J5" s="1331"/>
      <c r="K5" s="1333"/>
      <c r="L5" s="1320" t="s">
        <v>472</v>
      </c>
      <c r="M5" s="1321"/>
      <c r="N5" s="1321"/>
      <c r="O5" s="1322"/>
    </row>
    <row r="6" spans="1:15" ht="36.75" customHeight="1">
      <c r="A6" s="1327"/>
      <c r="B6" s="1329"/>
      <c r="C6" s="791" t="s">
        <v>638</v>
      </c>
      <c r="D6" s="782" t="s">
        <v>648</v>
      </c>
      <c r="E6" s="792" t="s">
        <v>951</v>
      </c>
      <c r="F6" s="791" t="s">
        <v>638</v>
      </c>
      <c r="G6" s="782" t="s">
        <v>648</v>
      </c>
      <c r="H6" s="792" t="s">
        <v>951</v>
      </c>
      <c r="I6" s="791" t="s">
        <v>638</v>
      </c>
      <c r="J6" s="782" t="s">
        <v>648</v>
      </c>
      <c r="K6" s="804" t="s">
        <v>951</v>
      </c>
      <c r="L6" s="783" t="s">
        <v>638</v>
      </c>
      <c r="M6" s="782" t="s">
        <v>648</v>
      </c>
      <c r="N6" s="782" t="s">
        <v>951</v>
      </c>
      <c r="O6" s="792" t="s">
        <v>637</v>
      </c>
    </row>
    <row r="7" spans="1:15" ht="31.5">
      <c r="A7" s="723" t="s">
        <v>259</v>
      </c>
      <c r="B7" s="787" t="s">
        <v>44</v>
      </c>
      <c r="C7" s="793">
        <f>SUM(C8:C8)</f>
        <v>0</v>
      </c>
      <c r="D7" s="760">
        <f>C7</f>
        <v>0</v>
      </c>
      <c r="E7" s="794">
        <f>SUM(E8:E8)</f>
        <v>0</v>
      </c>
      <c r="F7" s="793">
        <f>SUM(F8:F8)</f>
        <v>0</v>
      </c>
      <c r="G7" s="760">
        <f>F7</f>
        <v>0</v>
      </c>
      <c r="H7" s="794">
        <f>SUM(H8:H8)</f>
        <v>0</v>
      </c>
      <c r="I7" s="793">
        <f>SUM(I8:I8)</f>
        <v>0</v>
      </c>
      <c r="J7" s="760">
        <f>I7</f>
        <v>0</v>
      </c>
      <c r="K7" s="805">
        <f>SUM(K8:K8)</f>
        <v>0</v>
      </c>
      <c r="L7" s="784">
        <f>SUM(C7,F7,I7)</f>
        <v>0</v>
      </c>
      <c r="M7" s="760">
        <f>L7</f>
        <v>0</v>
      </c>
      <c r="N7" s="760">
        <f>SUM(E7,H7,K7)</f>
        <v>0</v>
      </c>
      <c r="O7" s="809" t="e">
        <f>N7/M7</f>
        <v>#DIV/0!</v>
      </c>
    </row>
    <row r="8" spans="1:15">
      <c r="A8" s="724" t="s">
        <v>263</v>
      </c>
      <c r="B8" s="788"/>
      <c r="C8" s="795">
        <v>0</v>
      </c>
      <c r="D8" s="760">
        <f t="shared" ref="D8:D65" si="0">C8</f>
        <v>0</v>
      </c>
      <c r="E8" s="796">
        <v>0</v>
      </c>
      <c r="F8" s="795"/>
      <c r="G8" s="760"/>
      <c r="H8" s="796"/>
      <c r="I8" s="795"/>
      <c r="J8" s="760">
        <f t="shared" ref="J8:J65" si="1">I8</f>
        <v>0</v>
      </c>
      <c r="K8" s="806"/>
      <c r="L8" s="784">
        <f t="shared" ref="L8:L65" si="2">SUM(C8,F8,I8)</f>
        <v>0</v>
      </c>
      <c r="M8" s="760">
        <f t="shared" ref="M8:M65" si="3">L8</f>
        <v>0</v>
      </c>
      <c r="N8" s="760">
        <f t="shared" ref="N8" si="4">SUM(E8,H8,K8)</f>
        <v>0</v>
      </c>
      <c r="O8" s="809" t="e">
        <f t="shared" ref="O8:O65" si="5">N8/M8</f>
        <v>#DIV/0!</v>
      </c>
    </row>
    <row r="9" spans="1:15" ht="31.5">
      <c r="A9" s="723" t="s">
        <v>264</v>
      </c>
      <c r="B9" s="787" t="s">
        <v>49</v>
      </c>
      <c r="C9" s="793">
        <v>200000</v>
      </c>
      <c r="D9" s="760">
        <f t="shared" si="0"/>
        <v>200000</v>
      </c>
      <c r="E9" s="794">
        <v>33307</v>
      </c>
      <c r="F9" s="793">
        <v>400000</v>
      </c>
      <c r="G9" s="760">
        <f t="shared" ref="G9:G65" si="6">F9</f>
        <v>400000</v>
      </c>
      <c r="H9" s="794">
        <v>260686</v>
      </c>
      <c r="I9" s="793"/>
      <c r="J9" s="760">
        <f t="shared" si="1"/>
        <v>0</v>
      </c>
      <c r="K9" s="805"/>
      <c r="L9" s="784">
        <f t="shared" si="2"/>
        <v>600000</v>
      </c>
      <c r="M9" s="760">
        <f t="shared" si="3"/>
        <v>600000</v>
      </c>
      <c r="N9" s="760">
        <f>SUM(E9,H9,K9)</f>
        <v>293993</v>
      </c>
      <c r="O9" s="809"/>
    </row>
    <row r="10" spans="1:15" ht="31.5" hidden="1">
      <c r="A10" s="724" t="s">
        <v>265</v>
      </c>
      <c r="B10" s="788"/>
      <c r="C10" s="795"/>
      <c r="D10" s="760">
        <f t="shared" si="0"/>
        <v>0</v>
      </c>
      <c r="E10" s="796"/>
      <c r="F10" s="795"/>
      <c r="G10" s="760">
        <f t="shared" si="6"/>
        <v>0</v>
      </c>
      <c r="H10" s="796"/>
      <c r="I10" s="795"/>
      <c r="J10" s="760">
        <f t="shared" si="1"/>
        <v>0</v>
      </c>
      <c r="K10" s="806"/>
      <c r="L10" s="784">
        <f t="shared" si="2"/>
        <v>0</v>
      </c>
      <c r="M10" s="760">
        <f t="shared" si="3"/>
        <v>0</v>
      </c>
      <c r="N10" s="760">
        <f t="shared" ref="N10:N65" si="7">SUM(E10,H10,K10)</f>
        <v>0</v>
      </c>
      <c r="O10" s="809"/>
    </row>
    <row r="11" spans="1:15" hidden="1">
      <c r="A11" s="724" t="s">
        <v>266</v>
      </c>
      <c r="B11" s="788"/>
      <c r="C11" s="795"/>
      <c r="D11" s="760">
        <f t="shared" si="0"/>
        <v>0</v>
      </c>
      <c r="E11" s="796"/>
      <c r="F11" s="795"/>
      <c r="G11" s="760">
        <f t="shared" si="6"/>
        <v>0</v>
      </c>
      <c r="H11" s="796"/>
      <c r="I11" s="795"/>
      <c r="J11" s="760">
        <f t="shared" si="1"/>
        <v>0</v>
      </c>
      <c r="K11" s="806"/>
      <c r="L11" s="784">
        <f t="shared" si="2"/>
        <v>0</v>
      </c>
      <c r="M11" s="760">
        <f t="shared" si="3"/>
        <v>0</v>
      </c>
      <c r="N11" s="760">
        <f t="shared" si="7"/>
        <v>0</v>
      </c>
      <c r="O11" s="809"/>
    </row>
    <row r="12" spans="1:15" ht="31.5" hidden="1">
      <c r="A12" s="724" t="s">
        <v>267</v>
      </c>
      <c r="B12" s="788"/>
      <c r="C12" s="795"/>
      <c r="D12" s="760">
        <f t="shared" si="0"/>
        <v>0</v>
      </c>
      <c r="E12" s="796"/>
      <c r="F12" s="795"/>
      <c r="G12" s="760">
        <f t="shared" si="6"/>
        <v>0</v>
      </c>
      <c r="H12" s="796"/>
      <c r="I12" s="795"/>
      <c r="J12" s="760">
        <f t="shared" si="1"/>
        <v>0</v>
      </c>
      <c r="K12" s="806"/>
      <c r="L12" s="784">
        <f t="shared" si="2"/>
        <v>0</v>
      </c>
      <c r="M12" s="760">
        <f t="shared" si="3"/>
        <v>0</v>
      </c>
      <c r="N12" s="760">
        <f t="shared" si="7"/>
        <v>0</v>
      </c>
      <c r="O12" s="809"/>
    </row>
    <row r="13" spans="1:15" ht="31.5" hidden="1">
      <c r="A13" s="724" t="s">
        <v>268</v>
      </c>
      <c r="B13" s="788"/>
      <c r="C13" s="795"/>
      <c r="D13" s="760">
        <f t="shared" si="0"/>
        <v>0</v>
      </c>
      <c r="E13" s="796"/>
      <c r="F13" s="795"/>
      <c r="G13" s="760">
        <f t="shared" si="6"/>
        <v>0</v>
      </c>
      <c r="H13" s="796"/>
      <c r="I13" s="795"/>
      <c r="J13" s="760">
        <f t="shared" si="1"/>
        <v>0</v>
      </c>
      <c r="K13" s="806"/>
      <c r="L13" s="784">
        <f t="shared" si="2"/>
        <v>0</v>
      </c>
      <c r="M13" s="760">
        <f t="shared" si="3"/>
        <v>0</v>
      </c>
      <c r="N13" s="760">
        <f t="shared" si="7"/>
        <v>0</v>
      </c>
      <c r="O13" s="809"/>
    </row>
    <row r="14" spans="1:15" hidden="1">
      <c r="A14" s="724" t="s">
        <v>54</v>
      </c>
      <c r="B14" s="788"/>
      <c r="C14" s="795"/>
      <c r="D14" s="760">
        <f t="shared" si="0"/>
        <v>0</v>
      </c>
      <c r="E14" s="796"/>
      <c r="F14" s="795"/>
      <c r="G14" s="760">
        <f t="shared" si="6"/>
        <v>0</v>
      </c>
      <c r="H14" s="796"/>
      <c r="I14" s="795"/>
      <c r="J14" s="760">
        <f t="shared" si="1"/>
        <v>0</v>
      </c>
      <c r="K14" s="806"/>
      <c r="L14" s="784">
        <f t="shared" si="2"/>
        <v>0</v>
      </c>
      <c r="M14" s="760">
        <f t="shared" si="3"/>
        <v>0</v>
      </c>
      <c r="N14" s="760">
        <f t="shared" si="7"/>
        <v>0</v>
      </c>
      <c r="O14" s="809"/>
    </row>
    <row r="15" spans="1:15" ht="31.5" hidden="1">
      <c r="A15" s="724" t="s">
        <v>269</v>
      </c>
      <c r="B15" s="788"/>
      <c r="C15" s="795"/>
      <c r="D15" s="760">
        <f t="shared" si="0"/>
        <v>0</v>
      </c>
      <c r="E15" s="796"/>
      <c r="F15" s="795"/>
      <c r="G15" s="760">
        <f t="shared" si="6"/>
        <v>0</v>
      </c>
      <c r="H15" s="796"/>
      <c r="I15" s="795"/>
      <c r="J15" s="760">
        <f t="shared" si="1"/>
        <v>0</v>
      </c>
      <c r="K15" s="806"/>
      <c r="L15" s="784">
        <f t="shared" si="2"/>
        <v>0</v>
      </c>
      <c r="M15" s="760">
        <f t="shared" si="3"/>
        <v>0</v>
      </c>
      <c r="N15" s="760">
        <f t="shared" si="7"/>
        <v>0</v>
      </c>
      <c r="O15" s="809"/>
    </row>
    <row r="16" spans="1:15">
      <c r="A16" s="723" t="s">
        <v>270</v>
      </c>
      <c r="B16" s="787" t="s">
        <v>271</v>
      </c>
      <c r="C16" s="797"/>
      <c r="D16" s="760"/>
      <c r="E16" s="798"/>
      <c r="F16" s="797">
        <v>100000</v>
      </c>
      <c r="G16" s="760">
        <f t="shared" si="6"/>
        <v>100000</v>
      </c>
      <c r="H16" s="798">
        <v>0</v>
      </c>
      <c r="I16" s="797"/>
      <c r="J16" s="760">
        <f t="shared" si="1"/>
        <v>0</v>
      </c>
      <c r="K16" s="807"/>
      <c r="L16" s="784">
        <f t="shared" si="2"/>
        <v>100000</v>
      </c>
      <c r="M16" s="760">
        <f t="shared" si="3"/>
        <v>100000</v>
      </c>
      <c r="N16" s="760">
        <f t="shared" si="7"/>
        <v>0</v>
      </c>
      <c r="O16" s="809"/>
    </row>
    <row r="17" spans="1:15">
      <c r="A17" s="723" t="s">
        <v>272</v>
      </c>
      <c r="B17" s="787" t="s">
        <v>56</v>
      </c>
      <c r="C17" s="793">
        <f>SUM(C9,C7,C16)</f>
        <v>200000</v>
      </c>
      <c r="D17" s="760">
        <f t="shared" si="0"/>
        <v>200000</v>
      </c>
      <c r="E17" s="794">
        <f>SUM(E9,E7,E16)</f>
        <v>33307</v>
      </c>
      <c r="F17" s="793">
        <f>SUM(F9,F7,F16)</f>
        <v>500000</v>
      </c>
      <c r="G17" s="760">
        <f t="shared" si="6"/>
        <v>500000</v>
      </c>
      <c r="H17" s="794">
        <f>SUM(H9,H7,H16)</f>
        <v>260686</v>
      </c>
      <c r="I17" s="793">
        <f>SUM(I9,I7,I16)</f>
        <v>0</v>
      </c>
      <c r="J17" s="760">
        <f t="shared" si="1"/>
        <v>0</v>
      </c>
      <c r="K17" s="805">
        <f>SUM(K9,K7,K16)</f>
        <v>0</v>
      </c>
      <c r="L17" s="784">
        <f t="shared" si="2"/>
        <v>700000</v>
      </c>
      <c r="M17" s="760">
        <f t="shared" si="3"/>
        <v>700000</v>
      </c>
      <c r="N17" s="760">
        <f t="shared" si="7"/>
        <v>293993</v>
      </c>
      <c r="O17" s="809">
        <f t="shared" si="5"/>
        <v>0.41998999999999997</v>
      </c>
    </row>
    <row r="18" spans="1:15" ht="47.25">
      <c r="A18" s="723" t="s">
        <v>273</v>
      </c>
      <c r="B18" s="787" t="s">
        <v>58</v>
      </c>
      <c r="C18" s="797">
        <f t="shared" ref="C18:K18" si="8">SUM(C19:C22)</f>
        <v>100000</v>
      </c>
      <c r="D18" s="760">
        <f t="shared" si="0"/>
        <v>100000</v>
      </c>
      <c r="E18" s="798">
        <f t="shared" si="8"/>
        <v>34500</v>
      </c>
      <c r="F18" s="797">
        <f t="shared" si="8"/>
        <v>0</v>
      </c>
      <c r="G18" s="760">
        <f t="shared" si="6"/>
        <v>0</v>
      </c>
      <c r="H18" s="798">
        <f t="shared" si="8"/>
        <v>0</v>
      </c>
      <c r="I18" s="797">
        <f t="shared" si="8"/>
        <v>0</v>
      </c>
      <c r="J18" s="760">
        <f t="shared" si="1"/>
        <v>0</v>
      </c>
      <c r="K18" s="807">
        <f t="shared" si="8"/>
        <v>0</v>
      </c>
      <c r="L18" s="784">
        <f t="shared" si="2"/>
        <v>100000</v>
      </c>
      <c r="M18" s="760">
        <f t="shared" si="3"/>
        <v>100000</v>
      </c>
      <c r="N18" s="760">
        <f t="shared" si="7"/>
        <v>34500</v>
      </c>
      <c r="O18" s="809">
        <f t="shared" si="5"/>
        <v>0.34499999999999997</v>
      </c>
    </row>
    <row r="19" spans="1:15" ht="47.25" hidden="1">
      <c r="A19" s="724" t="s">
        <v>274</v>
      </c>
      <c r="B19" s="788"/>
      <c r="C19" s="795"/>
      <c r="D19" s="760">
        <f t="shared" si="0"/>
        <v>0</v>
      </c>
      <c r="E19" s="796"/>
      <c r="F19" s="795"/>
      <c r="G19" s="760">
        <f t="shared" si="6"/>
        <v>0</v>
      </c>
      <c r="H19" s="796"/>
      <c r="I19" s="795"/>
      <c r="J19" s="760">
        <f t="shared" si="1"/>
        <v>0</v>
      </c>
      <c r="K19" s="806"/>
      <c r="L19" s="784">
        <f t="shared" si="2"/>
        <v>0</v>
      </c>
      <c r="M19" s="760">
        <f t="shared" si="3"/>
        <v>0</v>
      </c>
      <c r="N19" s="760">
        <f t="shared" si="7"/>
        <v>0</v>
      </c>
      <c r="O19" s="809" t="e">
        <f t="shared" si="5"/>
        <v>#DIV/0!</v>
      </c>
    </row>
    <row r="20" spans="1:15" ht="31.5" hidden="1">
      <c r="A20" s="724" t="s">
        <v>275</v>
      </c>
      <c r="B20" s="788"/>
      <c r="C20" s="795"/>
      <c r="D20" s="760">
        <f t="shared" si="0"/>
        <v>0</v>
      </c>
      <c r="E20" s="796"/>
      <c r="F20" s="795"/>
      <c r="G20" s="760">
        <f t="shared" si="6"/>
        <v>0</v>
      </c>
      <c r="H20" s="796"/>
      <c r="I20" s="795"/>
      <c r="J20" s="760">
        <f t="shared" si="1"/>
        <v>0</v>
      </c>
      <c r="K20" s="806"/>
      <c r="L20" s="784">
        <f t="shared" si="2"/>
        <v>0</v>
      </c>
      <c r="M20" s="760">
        <f t="shared" si="3"/>
        <v>0</v>
      </c>
      <c r="N20" s="760">
        <f t="shared" si="7"/>
        <v>0</v>
      </c>
      <c r="O20" s="809" t="e">
        <f t="shared" si="5"/>
        <v>#DIV/0!</v>
      </c>
    </row>
    <row r="21" spans="1:15" ht="31.5" hidden="1">
      <c r="A21" s="724" t="s">
        <v>276</v>
      </c>
      <c r="B21" s="788"/>
      <c r="C21" s="795"/>
      <c r="D21" s="760">
        <f t="shared" si="0"/>
        <v>0</v>
      </c>
      <c r="E21" s="796"/>
      <c r="F21" s="795"/>
      <c r="G21" s="760">
        <f t="shared" si="6"/>
        <v>0</v>
      </c>
      <c r="H21" s="796"/>
      <c r="I21" s="795"/>
      <c r="J21" s="760">
        <f t="shared" si="1"/>
        <v>0</v>
      </c>
      <c r="K21" s="806"/>
      <c r="L21" s="784">
        <f t="shared" si="2"/>
        <v>0</v>
      </c>
      <c r="M21" s="760">
        <f t="shared" si="3"/>
        <v>0</v>
      </c>
      <c r="N21" s="760">
        <f t="shared" si="7"/>
        <v>0</v>
      </c>
      <c r="O21" s="809" t="e">
        <f t="shared" si="5"/>
        <v>#DIV/0!</v>
      </c>
    </row>
    <row r="22" spans="1:15" ht="31.5">
      <c r="A22" s="724" t="s">
        <v>971</v>
      </c>
      <c r="B22" s="788"/>
      <c r="C22" s="795">
        <v>100000</v>
      </c>
      <c r="D22" s="780">
        <f t="shared" si="0"/>
        <v>100000</v>
      </c>
      <c r="E22" s="796">
        <v>34500</v>
      </c>
      <c r="F22" s="795"/>
      <c r="G22" s="760"/>
      <c r="H22" s="796"/>
      <c r="I22" s="795"/>
      <c r="J22" s="760">
        <f t="shared" si="1"/>
        <v>0</v>
      </c>
      <c r="K22" s="806"/>
      <c r="L22" s="784">
        <f t="shared" si="2"/>
        <v>100000</v>
      </c>
      <c r="M22" s="760">
        <f t="shared" si="3"/>
        <v>100000</v>
      </c>
      <c r="N22" s="760">
        <f t="shared" si="7"/>
        <v>34500</v>
      </c>
      <c r="O22" s="809">
        <f t="shared" si="5"/>
        <v>0.34499999999999997</v>
      </c>
    </row>
    <row r="23" spans="1:15" ht="47.25">
      <c r="A23" s="723" t="s">
        <v>278</v>
      </c>
      <c r="B23" s="787" t="s">
        <v>60</v>
      </c>
      <c r="C23" s="793">
        <f t="shared" ref="C23:K23" si="9">SUM(C24:C25)</f>
        <v>100000</v>
      </c>
      <c r="D23" s="760">
        <f t="shared" si="0"/>
        <v>100000</v>
      </c>
      <c r="E23" s="794">
        <f t="shared" si="9"/>
        <v>46305</v>
      </c>
      <c r="F23" s="793">
        <f t="shared" si="9"/>
        <v>0</v>
      </c>
      <c r="G23" s="760">
        <f t="shared" si="6"/>
        <v>0</v>
      </c>
      <c r="H23" s="794">
        <f t="shared" si="9"/>
        <v>0</v>
      </c>
      <c r="I23" s="793">
        <f t="shared" si="9"/>
        <v>0</v>
      </c>
      <c r="J23" s="760">
        <f t="shared" si="1"/>
        <v>0</v>
      </c>
      <c r="K23" s="805">
        <f t="shared" si="9"/>
        <v>0</v>
      </c>
      <c r="L23" s="784">
        <f t="shared" si="2"/>
        <v>100000</v>
      </c>
      <c r="M23" s="760">
        <f t="shared" si="3"/>
        <v>100000</v>
      </c>
      <c r="N23" s="760">
        <f t="shared" si="7"/>
        <v>46305</v>
      </c>
      <c r="O23" s="809">
        <f t="shared" si="5"/>
        <v>0.46305000000000002</v>
      </c>
    </row>
    <row r="24" spans="1:15" ht="47.25" hidden="1">
      <c r="A24" s="724" t="s">
        <v>279</v>
      </c>
      <c r="B24" s="788"/>
      <c r="C24" s="795"/>
      <c r="D24" s="760">
        <f t="shared" si="0"/>
        <v>0</v>
      </c>
      <c r="E24" s="796"/>
      <c r="F24" s="795"/>
      <c r="G24" s="760">
        <f t="shared" si="6"/>
        <v>0</v>
      </c>
      <c r="H24" s="796"/>
      <c r="I24" s="795"/>
      <c r="J24" s="760">
        <f t="shared" si="1"/>
        <v>0</v>
      </c>
      <c r="K24" s="806"/>
      <c r="L24" s="784">
        <f t="shared" si="2"/>
        <v>0</v>
      </c>
      <c r="M24" s="760">
        <f t="shared" si="3"/>
        <v>0</v>
      </c>
      <c r="N24" s="760">
        <f t="shared" si="7"/>
        <v>0</v>
      </c>
      <c r="O24" s="809" t="e">
        <f t="shared" si="5"/>
        <v>#DIV/0!</v>
      </c>
    </row>
    <row r="25" spans="1:15" ht="31.5">
      <c r="A25" s="724" t="s">
        <v>972</v>
      </c>
      <c r="B25" s="788"/>
      <c r="C25" s="795">
        <v>100000</v>
      </c>
      <c r="D25" s="780">
        <f t="shared" si="0"/>
        <v>100000</v>
      </c>
      <c r="E25" s="796">
        <v>46305</v>
      </c>
      <c r="F25" s="795"/>
      <c r="G25" s="760"/>
      <c r="H25" s="796"/>
      <c r="I25" s="795"/>
      <c r="J25" s="760">
        <f t="shared" si="1"/>
        <v>0</v>
      </c>
      <c r="K25" s="806"/>
      <c r="L25" s="784">
        <f t="shared" si="2"/>
        <v>100000</v>
      </c>
      <c r="M25" s="760">
        <f t="shared" si="3"/>
        <v>100000</v>
      </c>
      <c r="N25" s="760">
        <f t="shared" si="7"/>
        <v>46305</v>
      </c>
      <c r="O25" s="809">
        <f t="shared" si="5"/>
        <v>0.46305000000000002</v>
      </c>
    </row>
    <row r="26" spans="1:15" ht="31.5">
      <c r="A26" s="723" t="s">
        <v>62</v>
      </c>
      <c r="B26" s="787" t="s">
        <v>63</v>
      </c>
      <c r="C26" s="793">
        <f>SUM(C18,C23)</f>
        <v>200000</v>
      </c>
      <c r="D26" s="760">
        <f>SUM(D18,D23)</f>
        <v>200000</v>
      </c>
      <c r="E26" s="794">
        <f t="shared" ref="E26:K26" si="10">SUM(E18,E23)</f>
        <v>80805</v>
      </c>
      <c r="F26" s="793">
        <f t="shared" si="10"/>
        <v>0</v>
      </c>
      <c r="G26" s="760">
        <f t="shared" si="6"/>
        <v>0</v>
      </c>
      <c r="H26" s="794">
        <f t="shared" si="10"/>
        <v>0</v>
      </c>
      <c r="I26" s="793">
        <f t="shared" si="10"/>
        <v>0</v>
      </c>
      <c r="J26" s="760">
        <f t="shared" si="1"/>
        <v>0</v>
      </c>
      <c r="K26" s="805">
        <f t="shared" si="10"/>
        <v>0</v>
      </c>
      <c r="L26" s="784">
        <f t="shared" si="2"/>
        <v>200000</v>
      </c>
      <c r="M26" s="760">
        <f t="shared" si="3"/>
        <v>200000</v>
      </c>
      <c r="N26" s="760">
        <f t="shared" si="7"/>
        <v>80805</v>
      </c>
      <c r="O26" s="809">
        <f t="shared" si="5"/>
        <v>0.40402500000000002</v>
      </c>
    </row>
    <row r="27" spans="1:15">
      <c r="A27" s="723" t="s">
        <v>281</v>
      </c>
      <c r="B27" s="787" t="s">
        <v>65</v>
      </c>
      <c r="C27" s="793">
        <v>1200000</v>
      </c>
      <c r="D27" s="760">
        <f t="shared" si="0"/>
        <v>1200000</v>
      </c>
      <c r="E27" s="794">
        <f>SUM(E28:E30)</f>
        <v>629649</v>
      </c>
      <c r="F27" s="793">
        <f t="shared" ref="F27:K27" si="11">SUM(F28:F30)</f>
        <v>0</v>
      </c>
      <c r="G27" s="760">
        <f t="shared" si="6"/>
        <v>0</v>
      </c>
      <c r="H27" s="794">
        <f t="shared" si="11"/>
        <v>0</v>
      </c>
      <c r="I27" s="793">
        <f t="shared" si="11"/>
        <v>0</v>
      </c>
      <c r="J27" s="760">
        <f t="shared" si="1"/>
        <v>0</v>
      </c>
      <c r="K27" s="805">
        <f t="shared" si="11"/>
        <v>0</v>
      </c>
      <c r="L27" s="784">
        <f t="shared" si="2"/>
        <v>1200000</v>
      </c>
      <c r="M27" s="760">
        <f t="shared" si="3"/>
        <v>1200000</v>
      </c>
      <c r="N27" s="760">
        <f t="shared" si="7"/>
        <v>629649</v>
      </c>
      <c r="O27" s="809">
        <f t="shared" si="5"/>
        <v>0.52470749999999999</v>
      </c>
    </row>
    <row r="28" spans="1:15">
      <c r="A28" s="724" t="s">
        <v>282</v>
      </c>
      <c r="B28" s="788"/>
      <c r="C28" s="795"/>
      <c r="D28" s="760"/>
      <c r="E28" s="796">
        <v>96522</v>
      </c>
      <c r="F28" s="795"/>
      <c r="G28" s="760"/>
      <c r="H28" s="796"/>
      <c r="I28" s="795"/>
      <c r="J28" s="760">
        <f t="shared" si="1"/>
        <v>0</v>
      </c>
      <c r="K28" s="806"/>
      <c r="L28" s="784">
        <f t="shared" si="2"/>
        <v>0</v>
      </c>
      <c r="M28" s="760">
        <f t="shared" si="3"/>
        <v>0</v>
      </c>
      <c r="N28" s="760">
        <f t="shared" si="7"/>
        <v>96522</v>
      </c>
      <c r="O28" s="809" t="e">
        <f t="shared" si="5"/>
        <v>#DIV/0!</v>
      </c>
    </row>
    <row r="29" spans="1:15">
      <c r="A29" s="724" t="s">
        <v>283</v>
      </c>
      <c r="B29" s="788"/>
      <c r="C29" s="795"/>
      <c r="D29" s="760"/>
      <c r="E29" s="796">
        <v>504996</v>
      </c>
      <c r="F29" s="795"/>
      <c r="G29" s="760"/>
      <c r="H29" s="796"/>
      <c r="I29" s="795"/>
      <c r="J29" s="760">
        <f t="shared" si="1"/>
        <v>0</v>
      </c>
      <c r="K29" s="806"/>
      <c r="L29" s="784">
        <f t="shared" si="2"/>
        <v>0</v>
      </c>
      <c r="M29" s="760">
        <f t="shared" si="3"/>
        <v>0</v>
      </c>
      <c r="N29" s="760">
        <f t="shared" si="7"/>
        <v>504996</v>
      </c>
      <c r="O29" s="809" t="e">
        <f t="shared" si="5"/>
        <v>#DIV/0!</v>
      </c>
    </row>
    <row r="30" spans="1:15">
      <c r="A30" s="724" t="s">
        <v>284</v>
      </c>
      <c r="B30" s="788"/>
      <c r="C30" s="795"/>
      <c r="D30" s="760"/>
      <c r="E30" s="796">
        <v>28131</v>
      </c>
      <c r="F30" s="795"/>
      <c r="G30" s="760"/>
      <c r="H30" s="796"/>
      <c r="I30" s="795"/>
      <c r="J30" s="760">
        <f t="shared" si="1"/>
        <v>0</v>
      </c>
      <c r="K30" s="806"/>
      <c r="L30" s="784">
        <f t="shared" si="2"/>
        <v>0</v>
      </c>
      <c r="M30" s="760">
        <f t="shared" si="3"/>
        <v>0</v>
      </c>
      <c r="N30" s="760">
        <f t="shared" si="7"/>
        <v>28131</v>
      </c>
      <c r="O30" s="809" t="e">
        <f t="shared" si="5"/>
        <v>#DIV/0!</v>
      </c>
    </row>
    <row r="31" spans="1:15">
      <c r="A31" s="723" t="s">
        <v>285</v>
      </c>
      <c r="B31" s="787" t="s">
        <v>69</v>
      </c>
      <c r="C31" s="797">
        <v>300000</v>
      </c>
      <c r="D31" s="760">
        <f t="shared" si="0"/>
        <v>300000</v>
      </c>
      <c r="E31" s="798"/>
      <c r="F31" s="797">
        <v>0</v>
      </c>
      <c r="G31" s="760">
        <f t="shared" si="6"/>
        <v>0</v>
      </c>
      <c r="H31" s="798"/>
      <c r="I31" s="797"/>
      <c r="J31" s="760">
        <f t="shared" si="1"/>
        <v>0</v>
      </c>
      <c r="K31" s="807"/>
      <c r="L31" s="784">
        <f t="shared" si="2"/>
        <v>300000</v>
      </c>
      <c r="M31" s="760">
        <f t="shared" si="3"/>
        <v>300000</v>
      </c>
      <c r="N31" s="760">
        <f t="shared" si="7"/>
        <v>0</v>
      </c>
      <c r="O31" s="809">
        <f t="shared" si="5"/>
        <v>0</v>
      </c>
    </row>
    <row r="32" spans="1:15">
      <c r="A32" s="723" t="s">
        <v>286</v>
      </c>
      <c r="B32" s="787" t="s">
        <v>72</v>
      </c>
      <c r="C32" s="797">
        <v>0</v>
      </c>
      <c r="D32" s="760">
        <f t="shared" si="0"/>
        <v>0</v>
      </c>
      <c r="E32" s="798"/>
      <c r="F32" s="797">
        <v>0</v>
      </c>
      <c r="G32" s="760">
        <f t="shared" si="6"/>
        <v>0</v>
      </c>
      <c r="H32" s="798"/>
      <c r="I32" s="797"/>
      <c r="J32" s="760">
        <f t="shared" si="1"/>
        <v>0</v>
      </c>
      <c r="K32" s="807"/>
      <c r="L32" s="784">
        <f t="shared" si="2"/>
        <v>0</v>
      </c>
      <c r="M32" s="760">
        <f t="shared" si="3"/>
        <v>0</v>
      </c>
      <c r="N32" s="760">
        <f t="shared" si="7"/>
        <v>0</v>
      </c>
      <c r="O32" s="809" t="e">
        <f t="shared" si="5"/>
        <v>#DIV/0!</v>
      </c>
    </row>
    <row r="33" spans="1:15" ht="47.25">
      <c r="A33" s="723" t="s">
        <v>152</v>
      </c>
      <c r="B33" s="787" t="s">
        <v>73</v>
      </c>
      <c r="C33" s="797">
        <v>200000</v>
      </c>
      <c r="D33" s="760">
        <f t="shared" si="0"/>
        <v>200000</v>
      </c>
      <c r="E33" s="798">
        <v>87992</v>
      </c>
      <c r="F33" s="797">
        <v>0</v>
      </c>
      <c r="G33" s="760">
        <f t="shared" si="6"/>
        <v>0</v>
      </c>
      <c r="H33" s="798"/>
      <c r="I33" s="797"/>
      <c r="J33" s="760">
        <f t="shared" si="1"/>
        <v>0</v>
      </c>
      <c r="K33" s="807"/>
      <c r="L33" s="784">
        <f t="shared" si="2"/>
        <v>200000</v>
      </c>
      <c r="M33" s="760">
        <f t="shared" si="3"/>
        <v>200000</v>
      </c>
      <c r="N33" s="760">
        <f t="shared" si="7"/>
        <v>87992</v>
      </c>
      <c r="O33" s="809"/>
    </row>
    <row r="34" spans="1:15" ht="31.5">
      <c r="A34" s="723" t="s">
        <v>74</v>
      </c>
      <c r="B34" s="787" t="s">
        <v>75</v>
      </c>
      <c r="C34" s="797">
        <v>20000</v>
      </c>
      <c r="D34" s="760">
        <f t="shared" si="0"/>
        <v>20000</v>
      </c>
      <c r="E34" s="798">
        <v>0</v>
      </c>
      <c r="F34" s="797">
        <v>0</v>
      </c>
      <c r="G34" s="760">
        <f t="shared" si="6"/>
        <v>0</v>
      </c>
      <c r="H34" s="798"/>
      <c r="I34" s="797"/>
      <c r="J34" s="760">
        <f t="shared" si="1"/>
        <v>0</v>
      </c>
      <c r="K34" s="807"/>
      <c r="L34" s="784">
        <f t="shared" si="2"/>
        <v>20000</v>
      </c>
      <c r="M34" s="760">
        <f t="shared" si="3"/>
        <v>20000</v>
      </c>
      <c r="N34" s="760">
        <f t="shared" si="7"/>
        <v>0</v>
      </c>
      <c r="O34" s="809">
        <f t="shared" si="5"/>
        <v>0</v>
      </c>
    </row>
    <row r="35" spans="1:15" ht="47.25">
      <c r="A35" s="723" t="s">
        <v>287</v>
      </c>
      <c r="B35" s="787" t="s">
        <v>77</v>
      </c>
      <c r="C35" s="793">
        <f t="shared" ref="C35" si="12">SUM(C36:C38)</f>
        <v>0</v>
      </c>
      <c r="D35" s="760">
        <f t="shared" si="0"/>
        <v>0</v>
      </c>
      <c r="E35" s="794">
        <v>0</v>
      </c>
      <c r="F35" s="793">
        <v>0</v>
      </c>
      <c r="G35" s="760">
        <f t="shared" si="6"/>
        <v>0</v>
      </c>
      <c r="H35" s="794"/>
      <c r="I35" s="793"/>
      <c r="J35" s="760">
        <f t="shared" si="1"/>
        <v>0</v>
      </c>
      <c r="K35" s="805"/>
      <c r="L35" s="784">
        <f t="shared" si="2"/>
        <v>0</v>
      </c>
      <c r="M35" s="760">
        <f t="shared" si="3"/>
        <v>0</v>
      </c>
      <c r="N35" s="760">
        <f t="shared" si="7"/>
        <v>0</v>
      </c>
      <c r="O35" s="809" t="e">
        <f t="shared" si="5"/>
        <v>#DIV/0!</v>
      </c>
    </row>
    <row r="36" spans="1:15" ht="31.5">
      <c r="A36" s="724" t="s">
        <v>78</v>
      </c>
      <c r="B36" s="788"/>
      <c r="C36" s="795"/>
      <c r="D36" s="760">
        <f t="shared" si="0"/>
        <v>0</v>
      </c>
      <c r="E36" s="796"/>
      <c r="F36" s="795"/>
      <c r="G36" s="760"/>
      <c r="H36" s="796"/>
      <c r="I36" s="795"/>
      <c r="J36" s="760">
        <f t="shared" si="1"/>
        <v>0</v>
      </c>
      <c r="K36" s="806"/>
      <c r="L36" s="784">
        <f t="shared" si="2"/>
        <v>0</v>
      </c>
      <c r="M36" s="760">
        <f t="shared" si="3"/>
        <v>0</v>
      </c>
      <c r="N36" s="760">
        <f t="shared" si="7"/>
        <v>0</v>
      </c>
      <c r="O36" s="809" t="e">
        <f t="shared" si="5"/>
        <v>#DIV/0!</v>
      </c>
    </row>
    <row r="37" spans="1:15" ht="31.5">
      <c r="A37" s="724" t="s">
        <v>79</v>
      </c>
      <c r="B37" s="788"/>
      <c r="C37" s="795"/>
      <c r="D37" s="760">
        <f t="shared" si="0"/>
        <v>0</v>
      </c>
      <c r="E37" s="796"/>
      <c r="F37" s="795"/>
      <c r="G37" s="760"/>
      <c r="H37" s="796"/>
      <c r="I37" s="795"/>
      <c r="J37" s="760">
        <f t="shared" si="1"/>
        <v>0</v>
      </c>
      <c r="K37" s="806"/>
      <c r="L37" s="784">
        <f t="shared" si="2"/>
        <v>0</v>
      </c>
      <c r="M37" s="760">
        <f t="shared" si="3"/>
        <v>0</v>
      </c>
      <c r="N37" s="760">
        <f t="shared" si="7"/>
        <v>0</v>
      </c>
      <c r="O37" s="809" t="e">
        <f t="shared" si="5"/>
        <v>#DIV/0!</v>
      </c>
    </row>
    <row r="38" spans="1:15" ht="31.5">
      <c r="A38" s="724" t="s">
        <v>288</v>
      </c>
      <c r="B38" s="788"/>
      <c r="C38" s="795"/>
      <c r="D38" s="760">
        <f t="shared" si="0"/>
        <v>0</v>
      </c>
      <c r="E38" s="796"/>
      <c r="F38" s="795"/>
      <c r="G38" s="760"/>
      <c r="H38" s="796"/>
      <c r="I38" s="795"/>
      <c r="J38" s="760">
        <f t="shared" si="1"/>
        <v>0</v>
      </c>
      <c r="K38" s="806"/>
      <c r="L38" s="784">
        <f t="shared" si="2"/>
        <v>0</v>
      </c>
      <c r="M38" s="760">
        <f t="shared" si="3"/>
        <v>0</v>
      </c>
      <c r="N38" s="760">
        <f t="shared" si="7"/>
        <v>0</v>
      </c>
      <c r="O38" s="809" t="e">
        <f t="shared" si="5"/>
        <v>#DIV/0!</v>
      </c>
    </row>
    <row r="39" spans="1:15">
      <c r="A39" s="723" t="s">
        <v>289</v>
      </c>
      <c r="B39" s="787" t="s">
        <v>81</v>
      </c>
      <c r="C39" s="793">
        <v>3600000</v>
      </c>
      <c r="D39" s="760">
        <f t="shared" si="0"/>
        <v>3600000</v>
      </c>
      <c r="E39" s="794">
        <v>1375244</v>
      </c>
      <c r="F39" s="793">
        <f>SUM(F40:F50)</f>
        <v>2110000</v>
      </c>
      <c r="G39" s="760">
        <f t="shared" ref="G39:H39" si="13">SUM(G40:G50)</f>
        <v>2110000</v>
      </c>
      <c r="H39" s="794">
        <f t="shared" si="13"/>
        <v>264000</v>
      </c>
      <c r="I39" s="793">
        <f t="shared" ref="I39:K39" si="14">SUM(I40:I49)</f>
        <v>0</v>
      </c>
      <c r="J39" s="760">
        <f t="shared" si="1"/>
        <v>0</v>
      </c>
      <c r="K39" s="805">
        <f t="shared" si="14"/>
        <v>0</v>
      </c>
      <c r="L39" s="784">
        <f t="shared" si="2"/>
        <v>5710000</v>
      </c>
      <c r="M39" s="760">
        <f t="shared" si="3"/>
        <v>5710000</v>
      </c>
      <c r="N39" s="760">
        <f t="shared" si="7"/>
        <v>1639244</v>
      </c>
      <c r="O39" s="809">
        <f t="shared" si="5"/>
        <v>0.28708301225919441</v>
      </c>
    </row>
    <row r="40" spans="1:15" hidden="1">
      <c r="A40" s="724" t="s">
        <v>290</v>
      </c>
      <c r="B40" s="789"/>
      <c r="C40" s="795"/>
      <c r="D40" s="760">
        <f t="shared" si="0"/>
        <v>0</v>
      </c>
      <c r="E40" s="796"/>
      <c r="F40" s="795"/>
      <c r="G40" s="760">
        <f t="shared" si="6"/>
        <v>0</v>
      </c>
      <c r="H40" s="796"/>
      <c r="I40" s="795"/>
      <c r="J40" s="760">
        <f t="shared" si="1"/>
        <v>0</v>
      </c>
      <c r="K40" s="806"/>
      <c r="L40" s="784">
        <f t="shared" si="2"/>
        <v>0</v>
      </c>
      <c r="M40" s="760">
        <f t="shared" si="3"/>
        <v>0</v>
      </c>
      <c r="N40" s="760">
        <f t="shared" si="7"/>
        <v>0</v>
      </c>
      <c r="O40" s="809" t="e">
        <f t="shared" si="5"/>
        <v>#DIV/0!</v>
      </c>
    </row>
    <row r="41" spans="1:15" hidden="1">
      <c r="A41" s="724" t="s">
        <v>291</v>
      </c>
      <c r="B41" s="789"/>
      <c r="C41" s="795"/>
      <c r="D41" s="760">
        <f t="shared" si="0"/>
        <v>0</v>
      </c>
      <c r="E41" s="796"/>
      <c r="F41" s="795"/>
      <c r="G41" s="760">
        <f t="shared" si="6"/>
        <v>0</v>
      </c>
      <c r="H41" s="796"/>
      <c r="I41" s="795"/>
      <c r="J41" s="760">
        <f t="shared" si="1"/>
        <v>0</v>
      </c>
      <c r="K41" s="806"/>
      <c r="L41" s="784">
        <f t="shared" si="2"/>
        <v>0</v>
      </c>
      <c r="M41" s="760">
        <f t="shared" si="3"/>
        <v>0</v>
      </c>
      <c r="N41" s="760">
        <f t="shared" si="7"/>
        <v>0</v>
      </c>
      <c r="O41" s="809" t="e">
        <f t="shared" si="5"/>
        <v>#DIV/0!</v>
      </c>
    </row>
    <row r="42" spans="1:15" ht="31.5" hidden="1">
      <c r="A42" s="724" t="s">
        <v>292</v>
      </c>
      <c r="B42" s="789"/>
      <c r="C42" s="795"/>
      <c r="D42" s="760">
        <f t="shared" si="0"/>
        <v>0</v>
      </c>
      <c r="E42" s="796"/>
      <c r="F42" s="795"/>
      <c r="G42" s="760">
        <f t="shared" si="6"/>
        <v>0</v>
      </c>
      <c r="H42" s="796"/>
      <c r="I42" s="795"/>
      <c r="J42" s="760">
        <f t="shared" si="1"/>
        <v>0</v>
      </c>
      <c r="K42" s="806"/>
      <c r="L42" s="784">
        <f t="shared" si="2"/>
        <v>0</v>
      </c>
      <c r="M42" s="760">
        <f t="shared" si="3"/>
        <v>0</v>
      </c>
      <c r="N42" s="760">
        <f t="shared" si="7"/>
        <v>0</v>
      </c>
      <c r="O42" s="809" t="e">
        <f t="shared" si="5"/>
        <v>#DIV/0!</v>
      </c>
    </row>
    <row r="43" spans="1:15" hidden="1">
      <c r="A43" s="724" t="s">
        <v>293</v>
      </c>
      <c r="B43" s="789"/>
      <c r="C43" s="795"/>
      <c r="D43" s="760">
        <f t="shared" si="0"/>
        <v>0</v>
      </c>
      <c r="E43" s="796"/>
      <c r="F43" s="795"/>
      <c r="G43" s="760">
        <f t="shared" si="6"/>
        <v>0</v>
      </c>
      <c r="H43" s="796"/>
      <c r="I43" s="795"/>
      <c r="J43" s="760">
        <f t="shared" si="1"/>
        <v>0</v>
      </c>
      <c r="K43" s="806"/>
      <c r="L43" s="784">
        <f t="shared" si="2"/>
        <v>0</v>
      </c>
      <c r="M43" s="760">
        <f t="shared" si="3"/>
        <v>0</v>
      </c>
      <c r="N43" s="760">
        <f t="shared" si="7"/>
        <v>0</v>
      </c>
      <c r="O43" s="809" t="e">
        <f t="shared" si="5"/>
        <v>#DIV/0!</v>
      </c>
    </row>
    <row r="44" spans="1:15" ht="31.5" hidden="1">
      <c r="A44" s="724" t="s">
        <v>294</v>
      </c>
      <c r="B44" s="789"/>
      <c r="C44" s="795"/>
      <c r="D44" s="760">
        <f t="shared" si="0"/>
        <v>0</v>
      </c>
      <c r="E44" s="796"/>
      <c r="F44" s="795"/>
      <c r="G44" s="760">
        <f t="shared" si="6"/>
        <v>0</v>
      </c>
      <c r="H44" s="796"/>
      <c r="I44" s="795"/>
      <c r="J44" s="760">
        <f t="shared" si="1"/>
        <v>0</v>
      </c>
      <c r="K44" s="806"/>
      <c r="L44" s="784">
        <f t="shared" si="2"/>
        <v>0</v>
      </c>
      <c r="M44" s="760">
        <f t="shared" si="3"/>
        <v>0</v>
      </c>
      <c r="N44" s="760">
        <f t="shared" si="7"/>
        <v>0</v>
      </c>
      <c r="O44" s="809" t="e">
        <f t="shared" si="5"/>
        <v>#DIV/0!</v>
      </c>
    </row>
    <row r="45" spans="1:15" ht="31.5" hidden="1">
      <c r="A45" s="724" t="s">
        <v>520</v>
      </c>
      <c r="B45" s="789"/>
      <c r="C45" s="795">
        <v>2300000</v>
      </c>
      <c r="D45" s="760">
        <f t="shared" si="0"/>
        <v>2300000</v>
      </c>
      <c r="E45" s="796"/>
      <c r="F45" s="795"/>
      <c r="G45" s="760">
        <f t="shared" si="6"/>
        <v>0</v>
      </c>
      <c r="H45" s="796"/>
      <c r="I45" s="795"/>
      <c r="J45" s="760">
        <f t="shared" si="1"/>
        <v>0</v>
      </c>
      <c r="K45" s="806"/>
      <c r="L45" s="784">
        <f t="shared" si="2"/>
        <v>2300000</v>
      </c>
      <c r="M45" s="760">
        <f t="shared" si="3"/>
        <v>2300000</v>
      </c>
      <c r="N45" s="760">
        <f t="shared" si="7"/>
        <v>0</v>
      </c>
      <c r="O45" s="809">
        <f t="shared" si="5"/>
        <v>0</v>
      </c>
    </row>
    <row r="46" spans="1:15">
      <c r="A46" s="778" t="s">
        <v>476</v>
      </c>
      <c r="B46" s="789"/>
      <c r="C46" s="795"/>
      <c r="D46" s="760"/>
      <c r="E46" s="796"/>
      <c r="F46" s="802">
        <v>1000000</v>
      </c>
      <c r="G46" s="780">
        <f t="shared" si="6"/>
        <v>1000000</v>
      </c>
      <c r="H46" s="803">
        <v>264000</v>
      </c>
      <c r="I46" s="795"/>
      <c r="J46" s="760">
        <f t="shared" si="1"/>
        <v>0</v>
      </c>
      <c r="K46" s="806"/>
      <c r="L46" s="784">
        <f t="shared" si="2"/>
        <v>1000000</v>
      </c>
      <c r="M46" s="760">
        <f t="shared" si="3"/>
        <v>1000000</v>
      </c>
      <c r="N46" s="760">
        <f t="shared" si="7"/>
        <v>264000</v>
      </c>
      <c r="O46" s="809">
        <f t="shared" si="5"/>
        <v>0.26400000000000001</v>
      </c>
    </row>
    <row r="47" spans="1:15" ht="31.5">
      <c r="A47" s="779" t="s">
        <v>974</v>
      </c>
      <c r="B47" s="789"/>
      <c r="C47" s="795"/>
      <c r="D47" s="760"/>
      <c r="E47" s="796"/>
      <c r="F47" s="802"/>
      <c r="G47" s="780"/>
      <c r="H47" s="803"/>
      <c r="I47" s="795"/>
      <c r="J47" s="760">
        <f t="shared" si="1"/>
        <v>0</v>
      </c>
      <c r="K47" s="806"/>
      <c r="L47" s="784">
        <f t="shared" si="2"/>
        <v>0</v>
      </c>
      <c r="M47" s="760">
        <f t="shared" si="3"/>
        <v>0</v>
      </c>
      <c r="N47" s="760">
        <f t="shared" si="7"/>
        <v>0</v>
      </c>
      <c r="O47" s="809" t="e">
        <f t="shared" si="5"/>
        <v>#DIV/0!</v>
      </c>
    </row>
    <row r="48" spans="1:15">
      <c r="A48" s="778" t="s">
        <v>478</v>
      </c>
      <c r="B48" s="789"/>
      <c r="C48" s="795"/>
      <c r="D48" s="760"/>
      <c r="E48" s="796"/>
      <c r="F48" s="802">
        <v>900000</v>
      </c>
      <c r="G48" s="780">
        <f t="shared" si="6"/>
        <v>900000</v>
      </c>
      <c r="H48" s="803"/>
      <c r="I48" s="795"/>
      <c r="J48" s="760">
        <f t="shared" si="1"/>
        <v>0</v>
      </c>
      <c r="K48" s="806"/>
      <c r="L48" s="784">
        <f t="shared" si="2"/>
        <v>900000</v>
      </c>
      <c r="M48" s="760">
        <f t="shared" si="3"/>
        <v>900000</v>
      </c>
      <c r="N48" s="760">
        <f t="shared" si="7"/>
        <v>0</v>
      </c>
      <c r="O48" s="809">
        <f t="shared" si="5"/>
        <v>0</v>
      </c>
    </row>
    <row r="49" spans="1:15" ht="31.5">
      <c r="A49" s="778" t="s">
        <v>479</v>
      </c>
      <c r="B49" s="789"/>
      <c r="C49" s="795"/>
      <c r="D49" s="760"/>
      <c r="E49" s="796"/>
      <c r="F49" s="802">
        <v>200000</v>
      </c>
      <c r="G49" s="780">
        <f t="shared" si="6"/>
        <v>200000</v>
      </c>
      <c r="H49" s="803"/>
      <c r="I49" s="795"/>
      <c r="J49" s="760">
        <f t="shared" si="1"/>
        <v>0</v>
      </c>
      <c r="K49" s="806"/>
      <c r="L49" s="784">
        <f t="shared" si="2"/>
        <v>200000</v>
      </c>
      <c r="M49" s="760">
        <f t="shared" si="3"/>
        <v>200000</v>
      </c>
      <c r="N49" s="760">
        <f t="shared" si="7"/>
        <v>0</v>
      </c>
      <c r="O49" s="809">
        <f t="shared" si="5"/>
        <v>0</v>
      </c>
    </row>
    <row r="50" spans="1:15">
      <c r="A50" s="778" t="s">
        <v>691</v>
      </c>
      <c r="B50" s="789"/>
      <c r="C50" s="795"/>
      <c r="D50" s="760"/>
      <c r="E50" s="796"/>
      <c r="F50" s="802">
        <v>10000</v>
      </c>
      <c r="G50" s="780">
        <f t="shared" si="6"/>
        <v>10000</v>
      </c>
      <c r="H50" s="803"/>
      <c r="I50" s="795"/>
      <c r="J50" s="760">
        <f t="shared" si="1"/>
        <v>0</v>
      </c>
      <c r="K50" s="806"/>
      <c r="L50" s="784">
        <f t="shared" si="2"/>
        <v>10000</v>
      </c>
      <c r="M50" s="760">
        <f t="shared" si="3"/>
        <v>10000</v>
      </c>
      <c r="N50" s="760">
        <f t="shared" si="7"/>
        <v>0</v>
      </c>
      <c r="O50" s="809">
        <f t="shared" si="5"/>
        <v>0</v>
      </c>
    </row>
    <row r="51" spans="1:15" ht="31.5">
      <c r="A51" s="723" t="s">
        <v>87</v>
      </c>
      <c r="B51" s="787" t="s">
        <v>88</v>
      </c>
      <c r="C51" s="793">
        <f>SUM(C27,C31:C35,C39)</f>
        <v>5320000</v>
      </c>
      <c r="D51" s="760">
        <f>SUM(D27,D31:D35,D39)</f>
        <v>5320000</v>
      </c>
      <c r="E51" s="794">
        <f>SUM(E27,E31:E35,E39)</f>
        <v>2092885</v>
      </c>
      <c r="F51" s="793">
        <f>SUM(F27,F31:F35,F39)</f>
        <v>2110000</v>
      </c>
      <c r="G51" s="760">
        <f t="shared" si="6"/>
        <v>2110000</v>
      </c>
      <c r="H51" s="794">
        <f>SUM(H27,H31:H35,H39)</f>
        <v>264000</v>
      </c>
      <c r="I51" s="793">
        <f>SUM(I27,I31:I35,I39)</f>
        <v>0</v>
      </c>
      <c r="J51" s="760">
        <f t="shared" si="1"/>
        <v>0</v>
      </c>
      <c r="K51" s="805">
        <f>SUM(K27,K31:K35,K39)</f>
        <v>0</v>
      </c>
      <c r="L51" s="784">
        <f t="shared" si="2"/>
        <v>7430000</v>
      </c>
      <c r="M51" s="760">
        <f t="shared" si="3"/>
        <v>7430000</v>
      </c>
      <c r="N51" s="760">
        <f t="shared" si="7"/>
        <v>2356885</v>
      </c>
      <c r="O51" s="809">
        <f t="shared" si="5"/>
        <v>0.31721197846567967</v>
      </c>
    </row>
    <row r="52" spans="1:15">
      <c r="A52" s="726" t="s">
        <v>522</v>
      </c>
      <c r="B52" s="788" t="s">
        <v>92</v>
      </c>
      <c r="C52" s="795"/>
      <c r="D52" s="760"/>
      <c r="E52" s="796"/>
      <c r="F52" s="795"/>
      <c r="G52" s="760"/>
      <c r="H52" s="796"/>
      <c r="I52" s="795">
        <v>50000</v>
      </c>
      <c r="J52" s="780">
        <f t="shared" si="1"/>
        <v>50000</v>
      </c>
      <c r="K52" s="806"/>
      <c r="L52" s="784">
        <f t="shared" si="2"/>
        <v>50000</v>
      </c>
      <c r="M52" s="760">
        <f t="shared" si="3"/>
        <v>50000</v>
      </c>
      <c r="N52" s="760">
        <f t="shared" si="7"/>
        <v>0</v>
      </c>
      <c r="O52" s="809">
        <f t="shared" si="5"/>
        <v>0</v>
      </c>
    </row>
    <row r="53" spans="1:15" ht="31.5">
      <c r="A53" s="726" t="s">
        <v>521</v>
      </c>
      <c r="B53" s="788" t="s">
        <v>92</v>
      </c>
      <c r="C53" s="795"/>
      <c r="D53" s="760"/>
      <c r="E53" s="796"/>
      <c r="F53" s="795"/>
      <c r="G53" s="760"/>
      <c r="H53" s="796"/>
      <c r="I53" s="795">
        <f>94000*12</f>
        <v>1128000</v>
      </c>
      <c r="J53" s="780">
        <f t="shared" si="1"/>
        <v>1128000</v>
      </c>
      <c r="K53" s="806"/>
      <c r="L53" s="784">
        <f t="shared" si="2"/>
        <v>1128000</v>
      </c>
      <c r="M53" s="760">
        <f t="shared" si="3"/>
        <v>1128000</v>
      </c>
      <c r="N53" s="760">
        <f t="shared" si="7"/>
        <v>0</v>
      </c>
      <c r="O53" s="809">
        <f t="shared" si="5"/>
        <v>0</v>
      </c>
    </row>
    <row r="54" spans="1:15" ht="47.25">
      <c r="A54" s="723" t="s">
        <v>93</v>
      </c>
      <c r="B54" s="787" t="s">
        <v>94</v>
      </c>
      <c r="C54" s="793">
        <f>SUM(C52:C53)</f>
        <v>0</v>
      </c>
      <c r="D54" s="760">
        <f t="shared" si="0"/>
        <v>0</v>
      </c>
      <c r="E54" s="794">
        <f t="shared" ref="E54:F54" si="15">SUM(E52:E53)</f>
        <v>0</v>
      </c>
      <c r="F54" s="793">
        <f t="shared" si="15"/>
        <v>0</v>
      </c>
      <c r="G54" s="760">
        <f t="shared" si="6"/>
        <v>0</v>
      </c>
      <c r="H54" s="794">
        <v>0</v>
      </c>
      <c r="I54" s="793">
        <f>SUM(I52:I53)</f>
        <v>1178000</v>
      </c>
      <c r="J54" s="760">
        <f>SUM(J52:J53)</f>
        <v>1178000</v>
      </c>
      <c r="K54" s="805">
        <f>SUM(K53)</f>
        <v>0</v>
      </c>
      <c r="L54" s="784">
        <f t="shared" si="2"/>
        <v>1178000</v>
      </c>
      <c r="M54" s="760">
        <f t="shared" si="3"/>
        <v>1178000</v>
      </c>
      <c r="N54" s="760">
        <f t="shared" si="7"/>
        <v>0</v>
      </c>
      <c r="O54" s="809">
        <f t="shared" si="5"/>
        <v>0</v>
      </c>
    </row>
    <row r="55" spans="1:15" ht="63">
      <c r="A55" s="723" t="s">
        <v>298</v>
      </c>
      <c r="B55" s="787" t="s">
        <v>96</v>
      </c>
      <c r="C55" s="793">
        <f>SUM(C56:C57)</f>
        <v>405000</v>
      </c>
      <c r="D55" s="760">
        <f t="shared" si="0"/>
        <v>405000</v>
      </c>
      <c r="E55" s="794">
        <f t="shared" ref="E55:K55" si="16">SUM(E56:E57)</f>
        <v>238859</v>
      </c>
      <c r="F55" s="793">
        <f t="shared" si="16"/>
        <v>569700</v>
      </c>
      <c r="G55" s="760">
        <f t="shared" si="6"/>
        <v>569700</v>
      </c>
      <c r="H55" s="794">
        <f t="shared" si="16"/>
        <v>38797</v>
      </c>
      <c r="I55" s="793">
        <f t="shared" si="16"/>
        <v>304560</v>
      </c>
      <c r="J55" s="760">
        <f t="shared" si="1"/>
        <v>304560</v>
      </c>
      <c r="K55" s="805">
        <f t="shared" si="16"/>
        <v>0</v>
      </c>
      <c r="L55" s="784">
        <f t="shared" si="2"/>
        <v>1279260</v>
      </c>
      <c r="M55" s="760">
        <f t="shared" si="3"/>
        <v>1279260</v>
      </c>
      <c r="N55" s="760">
        <f t="shared" si="7"/>
        <v>277656</v>
      </c>
      <c r="O55" s="809">
        <f t="shared" si="5"/>
        <v>0.21704422869471413</v>
      </c>
    </row>
    <row r="56" spans="1:15">
      <c r="A56" s="724" t="s">
        <v>299</v>
      </c>
      <c r="B56" s="788"/>
      <c r="C56" s="795"/>
      <c r="D56" s="760">
        <f t="shared" si="0"/>
        <v>0</v>
      </c>
      <c r="E56" s="796"/>
      <c r="F56" s="795"/>
      <c r="G56" s="760"/>
      <c r="H56" s="796"/>
      <c r="I56" s="795"/>
      <c r="J56" s="760">
        <f t="shared" si="1"/>
        <v>0</v>
      </c>
      <c r="K56" s="806"/>
      <c r="L56" s="784">
        <f t="shared" si="2"/>
        <v>0</v>
      </c>
      <c r="M56" s="760">
        <f t="shared" si="3"/>
        <v>0</v>
      </c>
      <c r="N56" s="760">
        <f t="shared" si="7"/>
        <v>0</v>
      </c>
      <c r="O56" s="809"/>
    </row>
    <row r="57" spans="1:15">
      <c r="A57" s="724" t="s">
        <v>300</v>
      </c>
      <c r="B57" s="788"/>
      <c r="C57" s="795">
        <v>405000</v>
      </c>
      <c r="D57" s="780">
        <f t="shared" si="0"/>
        <v>405000</v>
      </c>
      <c r="E57" s="796">
        <v>238859</v>
      </c>
      <c r="F57" s="795">
        <v>569700</v>
      </c>
      <c r="G57" s="780">
        <f t="shared" si="6"/>
        <v>569700</v>
      </c>
      <c r="H57" s="796">
        <v>38797</v>
      </c>
      <c r="I57" s="795">
        <f>I53*0.27</f>
        <v>304560</v>
      </c>
      <c r="J57" s="780">
        <f t="shared" si="1"/>
        <v>304560</v>
      </c>
      <c r="K57" s="806"/>
      <c r="L57" s="784">
        <f t="shared" si="2"/>
        <v>1279260</v>
      </c>
      <c r="M57" s="760">
        <f t="shared" si="3"/>
        <v>1279260</v>
      </c>
      <c r="N57" s="760">
        <f t="shared" si="7"/>
        <v>277656</v>
      </c>
      <c r="O57" s="809">
        <f t="shared" si="5"/>
        <v>0.21704422869471413</v>
      </c>
    </row>
    <row r="58" spans="1:15" ht="31.5" hidden="1">
      <c r="A58" s="723" t="s">
        <v>301</v>
      </c>
      <c r="B58" s="787" t="s">
        <v>98</v>
      </c>
      <c r="C58" s="797"/>
      <c r="D58" s="760">
        <f t="shared" si="0"/>
        <v>0</v>
      </c>
      <c r="E58" s="798"/>
      <c r="F58" s="797"/>
      <c r="G58" s="760">
        <f t="shared" si="6"/>
        <v>0</v>
      </c>
      <c r="H58" s="798"/>
      <c r="I58" s="797"/>
      <c r="J58" s="760">
        <f t="shared" si="1"/>
        <v>0</v>
      </c>
      <c r="K58" s="807"/>
      <c r="L58" s="784">
        <f t="shared" si="2"/>
        <v>0</v>
      </c>
      <c r="M58" s="760">
        <f t="shared" si="3"/>
        <v>0</v>
      </c>
      <c r="N58" s="760">
        <f t="shared" si="7"/>
        <v>0</v>
      </c>
      <c r="O58" s="809" t="e">
        <f t="shared" si="5"/>
        <v>#DIV/0!</v>
      </c>
    </row>
    <row r="59" spans="1:15" hidden="1">
      <c r="A59" s="723" t="s">
        <v>99</v>
      </c>
      <c r="B59" s="787" t="s">
        <v>100</v>
      </c>
      <c r="C59" s="797"/>
      <c r="D59" s="760">
        <f t="shared" si="0"/>
        <v>0</v>
      </c>
      <c r="E59" s="798"/>
      <c r="F59" s="797"/>
      <c r="G59" s="760">
        <f t="shared" si="6"/>
        <v>0</v>
      </c>
      <c r="H59" s="798"/>
      <c r="I59" s="797"/>
      <c r="J59" s="760">
        <f t="shared" si="1"/>
        <v>0</v>
      </c>
      <c r="K59" s="807"/>
      <c r="L59" s="784">
        <f t="shared" si="2"/>
        <v>0</v>
      </c>
      <c r="M59" s="760">
        <f t="shared" si="3"/>
        <v>0</v>
      </c>
      <c r="N59" s="760">
        <f t="shared" si="7"/>
        <v>0</v>
      </c>
      <c r="O59" s="809" t="e">
        <f t="shared" si="5"/>
        <v>#DIV/0!</v>
      </c>
    </row>
    <row r="60" spans="1:15" ht="31.5">
      <c r="A60" s="723" t="s">
        <v>302</v>
      </c>
      <c r="B60" s="787" t="s">
        <v>104</v>
      </c>
      <c r="C60" s="793">
        <v>100000</v>
      </c>
      <c r="D60" s="760">
        <f t="shared" si="0"/>
        <v>100000</v>
      </c>
      <c r="E60" s="794">
        <v>0</v>
      </c>
      <c r="F60" s="793">
        <v>0</v>
      </c>
      <c r="G60" s="760">
        <f t="shared" si="6"/>
        <v>0</v>
      </c>
      <c r="H60" s="794">
        <v>29510</v>
      </c>
      <c r="I60" s="793"/>
      <c r="J60" s="760">
        <f t="shared" si="1"/>
        <v>0</v>
      </c>
      <c r="K60" s="805"/>
      <c r="L60" s="784">
        <f t="shared" si="2"/>
        <v>100000</v>
      </c>
      <c r="M60" s="760">
        <f t="shared" si="3"/>
        <v>100000</v>
      </c>
      <c r="N60" s="760">
        <f>SUM(E60,H60,K60)</f>
        <v>29510</v>
      </c>
      <c r="O60" s="809">
        <f t="shared" si="5"/>
        <v>0.29509999999999997</v>
      </c>
    </row>
    <row r="61" spans="1:15" hidden="1">
      <c r="A61" s="724" t="s">
        <v>303</v>
      </c>
      <c r="B61" s="788"/>
      <c r="C61" s="795"/>
      <c r="D61" s="760">
        <f t="shared" si="0"/>
        <v>0</v>
      </c>
      <c r="E61" s="796"/>
      <c r="F61" s="795"/>
      <c r="G61" s="760">
        <f t="shared" si="6"/>
        <v>0</v>
      </c>
      <c r="H61" s="796"/>
      <c r="I61" s="795"/>
      <c r="J61" s="760">
        <f t="shared" si="1"/>
        <v>0</v>
      </c>
      <c r="K61" s="806"/>
      <c r="L61" s="784">
        <f t="shared" si="2"/>
        <v>0</v>
      </c>
      <c r="M61" s="760">
        <f t="shared" si="3"/>
        <v>0</v>
      </c>
      <c r="N61" s="760">
        <f t="shared" si="7"/>
        <v>0</v>
      </c>
      <c r="O61" s="809" t="e">
        <f t="shared" si="5"/>
        <v>#DIV/0!</v>
      </c>
    </row>
    <row r="62" spans="1:15" ht="31.5" hidden="1">
      <c r="A62" s="724" t="s">
        <v>304</v>
      </c>
      <c r="B62" s="788"/>
      <c r="C62" s="795"/>
      <c r="D62" s="760">
        <f t="shared" si="0"/>
        <v>0</v>
      </c>
      <c r="E62" s="796"/>
      <c r="F62" s="795"/>
      <c r="G62" s="760">
        <f t="shared" si="6"/>
        <v>0</v>
      </c>
      <c r="H62" s="796"/>
      <c r="I62" s="795"/>
      <c r="J62" s="760">
        <f t="shared" si="1"/>
        <v>0</v>
      </c>
      <c r="K62" s="806"/>
      <c r="L62" s="784">
        <f t="shared" si="2"/>
        <v>0</v>
      </c>
      <c r="M62" s="760">
        <f t="shared" si="3"/>
        <v>0</v>
      </c>
      <c r="N62" s="760">
        <f t="shared" si="7"/>
        <v>0</v>
      </c>
      <c r="O62" s="809" t="e">
        <f t="shared" si="5"/>
        <v>#DIV/0!</v>
      </c>
    </row>
    <row r="63" spans="1:15" hidden="1">
      <c r="A63" s="724" t="s">
        <v>302</v>
      </c>
      <c r="B63" s="788"/>
      <c r="C63" s="795"/>
      <c r="D63" s="760">
        <f t="shared" si="0"/>
        <v>0</v>
      </c>
      <c r="E63" s="796"/>
      <c r="F63" s="795"/>
      <c r="G63" s="760">
        <f t="shared" si="6"/>
        <v>0</v>
      </c>
      <c r="H63" s="796"/>
      <c r="I63" s="795"/>
      <c r="J63" s="760">
        <f t="shared" si="1"/>
        <v>0</v>
      </c>
      <c r="K63" s="806"/>
      <c r="L63" s="784">
        <f t="shared" si="2"/>
        <v>0</v>
      </c>
      <c r="M63" s="760">
        <f t="shared" si="3"/>
        <v>0</v>
      </c>
      <c r="N63" s="760">
        <f t="shared" si="7"/>
        <v>0</v>
      </c>
      <c r="O63" s="809" t="e">
        <f t="shared" si="5"/>
        <v>#DIV/0!</v>
      </c>
    </row>
    <row r="64" spans="1:15" ht="47.25">
      <c r="A64" s="723" t="s">
        <v>305</v>
      </c>
      <c r="B64" s="787" t="s">
        <v>110</v>
      </c>
      <c r="C64" s="793">
        <f>SUM(C60,C55,C58,C59)</f>
        <v>505000</v>
      </c>
      <c r="D64" s="760">
        <f>SUM(D60,D55,D58,D59)</f>
        <v>505000</v>
      </c>
      <c r="E64" s="794">
        <f t="shared" ref="E64:K64" si="17">SUM(E60,E55,E58,E59)</f>
        <v>238859</v>
      </c>
      <c r="F64" s="793">
        <f>SUM(F60,F55,F58,F59)</f>
        <v>569700</v>
      </c>
      <c r="G64" s="760">
        <f>SUM(G60,G55,G58,G59)</f>
        <v>569700</v>
      </c>
      <c r="H64" s="794">
        <f t="shared" si="17"/>
        <v>68307</v>
      </c>
      <c r="I64" s="793">
        <f t="shared" si="17"/>
        <v>304560</v>
      </c>
      <c r="J64" s="760">
        <f t="shared" si="1"/>
        <v>304560</v>
      </c>
      <c r="K64" s="805">
        <f t="shared" si="17"/>
        <v>0</v>
      </c>
      <c r="L64" s="784">
        <f t="shared" si="2"/>
        <v>1379260</v>
      </c>
      <c r="M64" s="760">
        <f t="shared" si="3"/>
        <v>1379260</v>
      </c>
      <c r="N64" s="760">
        <f t="shared" si="7"/>
        <v>307166</v>
      </c>
      <c r="O64" s="809">
        <f t="shared" si="5"/>
        <v>0.22270347867697171</v>
      </c>
    </row>
    <row r="65" spans="1:15" ht="16.5" thickBot="1">
      <c r="A65" s="781" t="s">
        <v>306</v>
      </c>
      <c r="B65" s="790" t="s">
        <v>112</v>
      </c>
      <c r="C65" s="799">
        <f>SUM(C64,C54,C51,C26,C17)</f>
        <v>6225000</v>
      </c>
      <c r="D65" s="800">
        <f t="shared" si="0"/>
        <v>6225000</v>
      </c>
      <c r="E65" s="801">
        <f>SUM(E64,E54,E51,E26,E17)</f>
        <v>2445856</v>
      </c>
      <c r="F65" s="799">
        <f>SUM(F64,F54,F51,F26,F17)</f>
        <v>3179700</v>
      </c>
      <c r="G65" s="800">
        <f t="shared" si="6"/>
        <v>3179700</v>
      </c>
      <c r="H65" s="801">
        <f>SUM(H64,H54,H51,H26,H17)</f>
        <v>592993</v>
      </c>
      <c r="I65" s="799">
        <f>SUM(I64,I54,I51,I26,I17)</f>
        <v>1482560</v>
      </c>
      <c r="J65" s="800">
        <f t="shared" si="1"/>
        <v>1482560</v>
      </c>
      <c r="K65" s="808">
        <f>SUM(K64,K54,K51,K26,K17)</f>
        <v>0</v>
      </c>
      <c r="L65" s="810">
        <f t="shared" si="2"/>
        <v>10887260</v>
      </c>
      <c r="M65" s="800">
        <f t="shared" si="3"/>
        <v>10887260</v>
      </c>
      <c r="N65" s="800">
        <f t="shared" si="7"/>
        <v>3038849</v>
      </c>
      <c r="O65" s="811">
        <f t="shared" si="5"/>
        <v>0.27911972341985036</v>
      </c>
    </row>
  </sheetData>
  <mergeCells count="8">
    <mergeCell ref="L5:O5"/>
    <mergeCell ref="C4:O4"/>
    <mergeCell ref="A4:A6"/>
    <mergeCell ref="B4:B6"/>
    <mergeCell ref="A3:I3"/>
    <mergeCell ref="C5:E5"/>
    <mergeCell ref="F5:H5"/>
    <mergeCell ref="I5:K5"/>
  </mergeCells>
  <pageMargins left="0.25" right="0.25" top="0.75" bottom="0.75" header="0.3" footer="0.3"/>
  <pageSetup paperSize="8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A1:G16"/>
  <sheetViews>
    <sheetView view="pageBreakPreview" zoomScale="110" zoomScaleNormal="100" zoomScaleSheetLayoutView="110" workbookViewId="0">
      <selection activeCell="C12" sqref="C12"/>
    </sheetView>
  </sheetViews>
  <sheetFormatPr defaultColWidth="8.7109375" defaultRowHeight="15.75"/>
  <cols>
    <col min="1" max="1" width="22.85546875" style="535" customWidth="1"/>
    <col min="2" max="2" width="23.140625" style="535" customWidth="1"/>
    <col min="3" max="3" width="20.85546875" style="672" customWidth="1"/>
    <col min="4" max="4" width="20.42578125" style="672" customWidth="1"/>
    <col min="5" max="5" width="18" style="672" bestFit="1" customWidth="1"/>
    <col min="6" max="6" width="15.28515625" style="766" customWidth="1"/>
    <col min="7" max="7" width="12" style="535" bestFit="1" customWidth="1"/>
    <col min="8" max="16384" width="8.7109375" style="535"/>
  </cols>
  <sheetData>
    <row r="1" spans="1:7">
      <c r="A1" s="535" t="s">
        <v>445</v>
      </c>
    </row>
    <row r="3" spans="1:7" ht="36" customHeight="1">
      <c r="A3" s="1277" t="s">
        <v>970</v>
      </c>
      <c r="B3" s="1277"/>
      <c r="C3" s="1277"/>
      <c r="D3" s="1277"/>
      <c r="E3" s="1277"/>
      <c r="F3" s="1277"/>
    </row>
    <row r="5" spans="1:7" ht="30" customHeight="1">
      <c r="A5" s="1335" t="s">
        <v>2</v>
      </c>
      <c r="B5" s="1340" t="s">
        <v>3</v>
      </c>
      <c r="C5" s="1337" t="s">
        <v>231</v>
      </c>
      <c r="D5" s="1338"/>
      <c r="E5" s="1338"/>
      <c r="F5" s="1339"/>
    </row>
    <row r="6" spans="1:7" ht="31.5">
      <c r="A6" s="1336"/>
      <c r="B6" s="1341"/>
      <c r="C6" s="709" t="s">
        <v>160</v>
      </c>
      <c r="D6" s="709" t="s">
        <v>660</v>
      </c>
      <c r="E6" s="709" t="s">
        <v>951</v>
      </c>
      <c r="F6" s="769" t="s">
        <v>637</v>
      </c>
    </row>
    <row r="7" spans="1:7" ht="31.5">
      <c r="A7" s="679" t="s">
        <v>5</v>
      </c>
      <c r="B7" s="472" t="s">
        <v>6</v>
      </c>
      <c r="C7" s="470">
        <v>719833</v>
      </c>
      <c r="D7" s="470">
        <f>SUM(C7)</f>
        <v>719833</v>
      </c>
      <c r="E7" s="470">
        <v>1247113</v>
      </c>
      <c r="F7" s="768">
        <f>E7/D7</f>
        <v>1.7325032333888555</v>
      </c>
    </row>
    <row r="8" spans="1:7">
      <c r="A8" s="679" t="s">
        <v>661</v>
      </c>
      <c r="B8" s="472" t="s">
        <v>18</v>
      </c>
      <c r="C8" s="470"/>
      <c r="D8" s="470">
        <f t="shared" ref="D8:D16" si="0">SUM(C8)</f>
        <v>0</v>
      </c>
      <c r="E8" s="470">
        <v>0</v>
      </c>
      <c r="F8" s="768"/>
    </row>
    <row r="9" spans="1:7">
      <c r="A9" s="679" t="s">
        <v>663</v>
      </c>
      <c r="B9" s="472" t="s">
        <v>24</v>
      </c>
      <c r="C9" s="470"/>
      <c r="D9" s="470">
        <f t="shared" si="0"/>
        <v>0</v>
      </c>
      <c r="E9" s="470">
        <v>0</v>
      </c>
      <c r="F9" s="768"/>
    </row>
    <row r="10" spans="1:7" ht="31.5">
      <c r="A10" s="679" t="s">
        <v>662</v>
      </c>
      <c r="B10" s="472" t="s">
        <v>30</v>
      </c>
      <c r="C10" s="470"/>
      <c r="D10" s="470">
        <f t="shared" si="0"/>
        <v>0</v>
      </c>
      <c r="E10" s="470">
        <v>0</v>
      </c>
      <c r="F10" s="768"/>
    </row>
    <row r="11" spans="1:7" ht="31.5">
      <c r="A11" s="694" t="s">
        <v>238</v>
      </c>
      <c r="B11" s="549" t="s">
        <v>32</v>
      </c>
      <c r="C11" s="304">
        <f t="shared" ref="C11" si="1">SUM(C7:C9)</f>
        <v>719833</v>
      </c>
      <c r="D11" s="304">
        <f t="shared" si="0"/>
        <v>719833</v>
      </c>
      <c r="E11" s="304">
        <f>SUM(E7:E10)</f>
        <v>1247113</v>
      </c>
      <c r="F11" s="767">
        <f t="shared" ref="F11:F16" si="2">E11/D11</f>
        <v>1.7325032333888555</v>
      </c>
      <c r="G11" s="701">
        <f>D11-C11</f>
        <v>0</v>
      </c>
    </row>
    <row r="12" spans="1:7" ht="31.5">
      <c r="A12" s="694" t="s">
        <v>242</v>
      </c>
      <c r="B12" s="549" t="s">
        <v>37</v>
      </c>
      <c r="C12" s="304">
        <v>0</v>
      </c>
      <c r="D12" s="470">
        <f t="shared" si="0"/>
        <v>0</v>
      </c>
      <c r="E12" s="470">
        <v>0</v>
      </c>
      <c r="F12" s="768"/>
    </row>
    <row r="13" spans="1:7" ht="16.5">
      <c r="A13" s="770" t="s">
        <v>243</v>
      </c>
      <c r="B13" s="771" t="s">
        <v>39</v>
      </c>
      <c r="C13" s="772">
        <f>C12+C11</f>
        <v>719833</v>
      </c>
      <c r="D13" s="772">
        <f t="shared" si="0"/>
        <v>719833</v>
      </c>
      <c r="E13" s="772">
        <f>E12+E11</f>
        <v>1247113</v>
      </c>
      <c r="F13" s="775">
        <f t="shared" si="2"/>
        <v>1.7325032333888555</v>
      </c>
    </row>
    <row r="14" spans="1:7" ht="47.25">
      <c r="A14" s="694" t="s">
        <v>244</v>
      </c>
      <c r="B14" s="549" t="s">
        <v>41</v>
      </c>
      <c r="C14" s="304">
        <v>47484</v>
      </c>
      <c r="D14" s="304">
        <f t="shared" si="0"/>
        <v>47484</v>
      </c>
      <c r="E14" s="304">
        <v>83972</v>
      </c>
      <c r="F14" s="767">
        <f t="shared" si="2"/>
        <v>1.7684272597085333</v>
      </c>
    </row>
    <row r="15" spans="1:7">
      <c r="A15" s="694" t="s">
        <v>664</v>
      </c>
      <c r="B15" s="549" t="s">
        <v>112</v>
      </c>
      <c r="C15" s="304"/>
      <c r="D15" s="304">
        <f t="shared" si="0"/>
        <v>0</v>
      </c>
      <c r="E15" s="304">
        <v>0</v>
      </c>
      <c r="F15" s="767"/>
    </row>
    <row r="16" spans="1:7" ht="18.75">
      <c r="A16" s="1334" t="s">
        <v>153</v>
      </c>
      <c r="B16" s="1334"/>
      <c r="C16" s="773">
        <f>SUM(C13:C15)</f>
        <v>767317</v>
      </c>
      <c r="D16" s="773">
        <f t="shared" si="0"/>
        <v>767317</v>
      </c>
      <c r="E16" s="773">
        <f>SUM(E13:E15)</f>
        <v>1331085</v>
      </c>
      <c r="F16" s="774">
        <f t="shared" si="2"/>
        <v>1.7347263256255236</v>
      </c>
    </row>
  </sheetData>
  <mergeCells count="5">
    <mergeCell ref="A3:F3"/>
    <mergeCell ref="A16:B16"/>
    <mergeCell ref="A5:A6"/>
    <mergeCell ref="C5:F5"/>
    <mergeCell ref="B5:B6"/>
  </mergeCells>
  <pageMargins left="0.7" right="0.7" top="0.75" bottom="0.75" header="0.3" footer="0.3"/>
  <pageSetup paperSize="9"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2"/>
  <sheetViews>
    <sheetView topLeftCell="A8" workbookViewId="0">
      <selection activeCell="J18" sqref="J18"/>
    </sheetView>
  </sheetViews>
  <sheetFormatPr defaultRowHeight="15"/>
  <cols>
    <col min="1" max="1" width="19" customWidth="1"/>
    <col min="3" max="3" width="19.28515625" customWidth="1"/>
    <col min="4" max="4" width="24" customWidth="1"/>
    <col min="5" max="5" width="19.5703125" customWidth="1"/>
    <col min="6" max="6" width="20.28515625" customWidth="1"/>
  </cols>
  <sheetData>
    <row r="1" spans="1:6">
      <c r="A1" s="1342" t="s">
        <v>443</v>
      </c>
      <c r="B1" s="1342"/>
      <c r="C1" s="1342"/>
      <c r="D1" s="10"/>
      <c r="E1" s="10"/>
      <c r="F1" s="10"/>
    </row>
    <row r="2" spans="1:6">
      <c r="A2" s="11"/>
      <c r="B2" s="11"/>
      <c r="C2" s="11"/>
      <c r="D2" s="10"/>
      <c r="E2" s="10"/>
      <c r="F2" s="10"/>
    </row>
    <row r="3" spans="1:6">
      <c r="B3" s="1343" t="s">
        <v>245</v>
      </c>
      <c r="C3" s="1343"/>
      <c r="D3" s="1343"/>
      <c r="E3" s="1343"/>
      <c r="F3" s="1344"/>
    </row>
    <row r="4" spans="1:6">
      <c r="B4" s="1343"/>
      <c r="C4" s="1343"/>
      <c r="D4" s="1343"/>
      <c r="E4" s="1343"/>
      <c r="F4" s="1344"/>
    </row>
    <row r="5" spans="1:6">
      <c r="A5" s="12"/>
      <c r="B5" s="12"/>
      <c r="C5" s="12"/>
      <c r="D5" s="12"/>
      <c r="E5" s="12"/>
      <c r="F5" s="12" t="s">
        <v>227</v>
      </c>
    </row>
    <row r="6" spans="1:6" ht="15.75" thickBot="1">
      <c r="A6" s="12"/>
      <c r="B6" s="12"/>
      <c r="C6" s="12"/>
      <c r="D6" s="12"/>
      <c r="E6" s="12"/>
      <c r="F6" s="12"/>
    </row>
    <row r="7" spans="1:6" ht="30">
      <c r="A7" s="13" t="s">
        <v>2</v>
      </c>
      <c r="B7" s="14" t="s">
        <v>3</v>
      </c>
      <c r="C7" s="15" t="s">
        <v>228</v>
      </c>
      <c r="D7" s="15" t="s">
        <v>433</v>
      </c>
      <c r="E7" s="15" t="s">
        <v>231</v>
      </c>
      <c r="F7" s="16" t="s">
        <v>232</v>
      </c>
    </row>
    <row r="8" spans="1:6" ht="43.5" customHeight="1">
      <c r="A8" s="17" t="s">
        <v>5</v>
      </c>
      <c r="B8" s="1" t="s">
        <v>6</v>
      </c>
      <c r="C8" s="18"/>
      <c r="D8" s="18">
        <v>3423900</v>
      </c>
      <c r="E8" s="18">
        <v>994710</v>
      </c>
      <c r="F8" s="19">
        <f t="shared" ref="F8:F15" si="0">SUM(C8:E8)</f>
        <v>4418610</v>
      </c>
    </row>
    <row r="9" spans="1:6" ht="60">
      <c r="A9" s="17" t="s">
        <v>233</v>
      </c>
      <c r="B9" s="1" t="s">
        <v>12</v>
      </c>
      <c r="C9" s="18"/>
      <c r="D9" s="18"/>
      <c r="E9" s="18"/>
      <c r="F9" s="19">
        <f t="shared" si="0"/>
        <v>0</v>
      </c>
    </row>
    <row r="10" spans="1:6">
      <c r="A10" s="17" t="s">
        <v>13</v>
      </c>
      <c r="B10" s="1" t="s">
        <v>14</v>
      </c>
      <c r="C10" s="18"/>
      <c r="D10" s="18"/>
      <c r="E10" s="18"/>
      <c r="F10" s="19">
        <f t="shared" si="0"/>
        <v>0</v>
      </c>
    </row>
    <row r="11" spans="1:6">
      <c r="A11" s="17" t="s">
        <v>15</v>
      </c>
      <c r="B11" s="1" t="s">
        <v>16</v>
      </c>
      <c r="C11" s="18"/>
      <c r="D11" s="18"/>
      <c r="E11" s="18"/>
      <c r="F11" s="19">
        <f t="shared" si="0"/>
        <v>0</v>
      </c>
    </row>
    <row r="12" spans="1:6" ht="30">
      <c r="A12" s="17" t="s">
        <v>234</v>
      </c>
      <c r="B12" s="1" t="s">
        <v>18</v>
      </c>
      <c r="C12" s="18">
        <v>200000</v>
      </c>
      <c r="D12" s="18">
        <v>200000</v>
      </c>
      <c r="E12" s="18"/>
      <c r="F12" s="19">
        <f t="shared" si="0"/>
        <v>400000</v>
      </c>
    </row>
    <row r="13" spans="1:6" ht="30">
      <c r="A13" s="17" t="s">
        <v>235</v>
      </c>
      <c r="B13" s="1" t="s">
        <v>22</v>
      </c>
      <c r="C13" s="18"/>
      <c r="D13" s="18"/>
      <c r="E13" s="18"/>
      <c r="F13" s="19">
        <f t="shared" si="0"/>
        <v>0</v>
      </c>
    </row>
    <row r="14" spans="1:6" ht="30">
      <c r="A14" s="17" t="s">
        <v>236</v>
      </c>
      <c r="B14" s="1" t="s">
        <v>24</v>
      </c>
      <c r="C14" s="18">
        <v>12000</v>
      </c>
      <c r="D14" s="18">
        <v>12000</v>
      </c>
      <c r="E14" s="18"/>
      <c r="F14" s="19">
        <f t="shared" si="0"/>
        <v>24000</v>
      </c>
    </row>
    <row r="15" spans="1:6" ht="30">
      <c r="A15" s="17" t="s">
        <v>237</v>
      </c>
      <c r="B15" s="1" t="s">
        <v>30</v>
      </c>
      <c r="C15" s="18"/>
      <c r="D15" s="18"/>
      <c r="E15" s="18"/>
      <c r="F15" s="19">
        <f t="shared" si="0"/>
        <v>0</v>
      </c>
    </row>
    <row r="16" spans="1:6" ht="30">
      <c r="A16" s="20" t="s">
        <v>238</v>
      </c>
      <c r="B16" s="21" t="s">
        <v>32</v>
      </c>
      <c r="C16" s="22">
        <f>SUM(C8:C15)</f>
        <v>212000</v>
      </c>
      <c r="D16" s="22">
        <f>SUM(D8:D15)</f>
        <v>3635900</v>
      </c>
      <c r="E16" s="22">
        <f>SUM(E8:E15)</f>
        <v>994710</v>
      </c>
      <c r="F16" s="23">
        <f>SUM(F8:F15)</f>
        <v>4842610</v>
      </c>
    </row>
    <row r="17" spans="1:6" ht="45">
      <c r="A17" s="17" t="s">
        <v>239</v>
      </c>
      <c r="B17" s="1" t="s">
        <v>33</v>
      </c>
      <c r="C17" s="18">
        <v>7568508</v>
      </c>
      <c r="D17" s="18"/>
      <c r="E17" s="18"/>
      <c r="F17" s="19">
        <f>SUM(C17:E17)</f>
        <v>7568508</v>
      </c>
    </row>
    <row r="18" spans="1:6" ht="55.5" customHeight="1">
      <c r="A18" s="17" t="s">
        <v>240</v>
      </c>
      <c r="B18" s="1" t="s">
        <v>34</v>
      </c>
      <c r="C18" s="18"/>
      <c r="D18" s="18"/>
      <c r="E18" s="18"/>
      <c r="F18" s="19">
        <f>SUM(C18:E18)</f>
        <v>0</v>
      </c>
    </row>
    <row r="19" spans="1:6" ht="28.5" customHeight="1">
      <c r="A19" s="17" t="s">
        <v>241</v>
      </c>
      <c r="B19" s="1" t="s">
        <v>35</v>
      </c>
      <c r="C19" s="18"/>
      <c r="D19" s="18"/>
      <c r="E19" s="18"/>
      <c r="F19" s="19">
        <f>SUM(C19:E19)</f>
        <v>0</v>
      </c>
    </row>
    <row r="20" spans="1:6" ht="30">
      <c r="A20" s="20" t="s">
        <v>242</v>
      </c>
      <c r="B20" s="21" t="s">
        <v>37</v>
      </c>
      <c r="C20" s="22">
        <f>SUM(C17:C19)</f>
        <v>7568508</v>
      </c>
      <c r="D20" s="22">
        <f t="shared" ref="D20:E20" si="1">SUM(D17:D19)</f>
        <v>0</v>
      </c>
      <c r="E20" s="22">
        <f t="shared" si="1"/>
        <v>0</v>
      </c>
      <c r="F20" s="23">
        <f>SUM(F17:F19)</f>
        <v>7568508</v>
      </c>
    </row>
    <row r="21" spans="1:6">
      <c r="A21" s="24" t="s">
        <v>243</v>
      </c>
      <c r="B21" s="25" t="s">
        <v>39</v>
      </c>
      <c r="C21" s="26">
        <f>C20+C16</f>
        <v>7780508</v>
      </c>
      <c r="D21" s="26">
        <f t="shared" ref="D21:E21" si="2">D20+D16</f>
        <v>3635900</v>
      </c>
      <c r="E21" s="26">
        <f t="shared" si="2"/>
        <v>994710</v>
      </c>
      <c r="F21" s="26">
        <f>F20+F16</f>
        <v>12411118</v>
      </c>
    </row>
    <row r="22" spans="1:6" ht="63.75" customHeight="1" thickBot="1">
      <c r="A22" s="27" t="s">
        <v>244</v>
      </c>
      <c r="B22" s="8" t="s">
        <v>41</v>
      </c>
      <c r="C22" s="28">
        <v>1461760</v>
      </c>
      <c r="D22" s="28">
        <v>745633</v>
      </c>
      <c r="E22" s="28">
        <v>109416</v>
      </c>
      <c r="F22" s="29">
        <f>SUM(C22:E22)</f>
        <v>2316809</v>
      </c>
    </row>
  </sheetData>
  <mergeCells count="3">
    <mergeCell ref="A1:C1"/>
    <mergeCell ref="B3:E4"/>
    <mergeCell ref="F3:F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Z69"/>
  <sheetViews>
    <sheetView workbookViewId="0">
      <pane xSplit="2" ySplit="7" topLeftCell="O58" activePane="bottomRight" state="frozen"/>
      <selection activeCell="H18" sqref="H18"/>
      <selection pane="topRight" activeCell="H18" sqref="H18"/>
      <selection pane="bottomLeft" activeCell="H18" sqref="H18"/>
      <selection pane="bottomRight" activeCell="V61" sqref="V61"/>
    </sheetView>
  </sheetViews>
  <sheetFormatPr defaultRowHeight="15"/>
  <cols>
    <col min="1" max="1" width="19.85546875" customWidth="1"/>
    <col min="2" max="2" width="18" customWidth="1"/>
    <col min="3" max="3" width="18" style="9" customWidth="1"/>
    <col min="4" max="4" width="18.5703125" customWidth="1"/>
    <col min="5" max="5" width="19.5703125" customWidth="1"/>
    <col min="6" max="6" width="15.140625" customWidth="1"/>
    <col min="7" max="7" width="17" customWidth="1"/>
    <col min="8" max="8" width="15.85546875" customWidth="1"/>
    <col min="9" max="9" width="16" customWidth="1"/>
    <col min="10" max="10" width="18" customWidth="1"/>
    <col min="11" max="11" width="18.140625" customWidth="1"/>
    <col min="12" max="12" width="18.28515625" customWidth="1"/>
    <col min="13" max="13" width="22.140625" customWidth="1"/>
    <col min="14" max="14" width="19" customWidth="1"/>
    <col min="15" max="15" width="18.5703125" customWidth="1"/>
    <col min="16" max="16" width="15.5703125" customWidth="1"/>
    <col min="17" max="17" width="17.42578125" customWidth="1"/>
    <col min="18" max="18" width="15.5703125" customWidth="1"/>
    <col min="19" max="19" width="14.140625" customWidth="1"/>
    <col min="20" max="20" width="14.85546875" customWidth="1"/>
    <col min="21" max="24" width="24" customWidth="1"/>
    <col min="25" max="25" width="16.7109375" customWidth="1"/>
    <col min="26" max="26" width="17.5703125" customWidth="1"/>
  </cols>
  <sheetData>
    <row r="1" spans="1:26">
      <c r="A1" s="1342" t="s">
        <v>444</v>
      </c>
      <c r="B1" s="1342"/>
      <c r="C1" s="1342"/>
      <c r="D1" s="1342"/>
      <c r="E1" s="1342"/>
      <c r="M1" s="30"/>
    </row>
    <row r="2" spans="1:26">
      <c r="A2" s="11"/>
      <c r="B2" s="11"/>
      <c r="C2" s="124"/>
      <c r="D2" s="11"/>
      <c r="E2" s="11"/>
      <c r="M2" s="30"/>
    </row>
    <row r="3" spans="1:26">
      <c r="D3" s="30"/>
      <c r="E3" s="1349" t="s">
        <v>468</v>
      </c>
      <c r="F3" s="1349"/>
      <c r="G3" s="1349"/>
      <c r="H3" s="1349"/>
      <c r="I3" s="1349"/>
      <c r="J3" s="1349"/>
      <c r="K3" s="1349"/>
      <c r="M3" s="30"/>
    </row>
    <row r="4" spans="1:26" ht="15.75" thickBot="1">
      <c r="A4" s="7"/>
      <c r="B4" s="7"/>
      <c r="C4" s="125"/>
      <c r="D4" s="30"/>
      <c r="E4" s="30"/>
      <c r="M4" s="30"/>
      <c r="R4" s="1350" t="s">
        <v>227</v>
      </c>
      <c r="S4" s="1350"/>
    </row>
    <row r="5" spans="1:26" ht="30" customHeight="1">
      <c r="A5" s="1351" t="s">
        <v>2</v>
      </c>
      <c r="B5" s="1353" t="s">
        <v>3</v>
      </c>
      <c r="C5" s="1375" t="s">
        <v>431</v>
      </c>
      <c r="D5" s="1355" t="s">
        <v>246</v>
      </c>
      <c r="E5" s="1357" t="s">
        <v>228</v>
      </c>
      <c r="F5" s="1359" t="s">
        <v>247</v>
      </c>
      <c r="G5" s="1360"/>
      <c r="H5" s="1360"/>
      <c r="I5" s="1360"/>
      <c r="J5" s="1360"/>
      <c r="K5" s="1360"/>
      <c r="L5" s="1361" t="s">
        <v>499</v>
      </c>
      <c r="M5" s="1386" t="s">
        <v>501</v>
      </c>
      <c r="N5" s="1387"/>
      <c r="O5" s="1388" t="s">
        <v>500</v>
      </c>
      <c r="P5" s="1345" t="s">
        <v>248</v>
      </c>
      <c r="Q5" s="1346"/>
      <c r="R5" s="1346"/>
      <c r="S5" s="1346"/>
      <c r="T5" s="1347" t="s">
        <v>249</v>
      </c>
      <c r="U5" s="1385" t="s">
        <v>250</v>
      </c>
      <c r="V5" s="1385"/>
      <c r="W5" s="1385"/>
      <c r="X5" s="1385"/>
    </row>
    <row r="6" spans="1:26" ht="60">
      <c r="A6" s="1352"/>
      <c r="B6" s="1354"/>
      <c r="C6" s="1376"/>
      <c r="D6" s="1356"/>
      <c r="E6" s="1358"/>
      <c r="F6" s="31" t="s">
        <v>229</v>
      </c>
      <c r="G6" s="32" t="s">
        <v>251</v>
      </c>
      <c r="H6" s="32" t="s">
        <v>252</v>
      </c>
      <c r="I6" s="32" t="s">
        <v>253</v>
      </c>
      <c r="J6" s="32" t="s">
        <v>254</v>
      </c>
      <c r="K6" s="32" t="s">
        <v>470</v>
      </c>
      <c r="L6" s="1362"/>
      <c r="M6" s="33" t="s">
        <v>502</v>
      </c>
      <c r="N6" s="34" t="s">
        <v>255</v>
      </c>
      <c r="O6" s="1389"/>
      <c r="P6" s="35" t="s">
        <v>230</v>
      </c>
      <c r="Q6" s="36" t="s">
        <v>256</v>
      </c>
      <c r="R6" s="36" t="s">
        <v>257</v>
      </c>
      <c r="S6" s="36" t="s">
        <v>480</v>
      </c>
      <c r="T6" s="1348"/>
      <c r="U6" s="121" t="s">
        <v>471</v>
      </c>
      <c r="V6" s="121" t="s">
        <v>474</v>
      </c>
      <c r="W6" s="122" t="s">
        <v>475</v>
      </c>
      <c r="X6" s="1371" t="s">
        <v>472</v>
      </c>
      <c r="Y6" s="37"/>
    </row>
    <row r="7" spans="1:26" ht="38.25">
      <c r="A7" s="1352"/>
      <c r="B7" s="1354"/>
      <c r="C7" s="1377"/>
      <c r="D7" s="38" t="s">
        <v>469</v>
      </c>
      <c r="E7" s="39" t="s">
        <v>469</v>
      </c>
      <c r="F7" s="1378" t="s">
        <v>469</v>
      </c>
      <c r="G7" s="1379"/>
      <c r="H7" s="1379"/>
      <c r="I7" s="1379"/>
      <c r="J7" s="1379"/>
      <c r="K7" s="1379"/>
      <c r="L7" s="1363"/>
      <c r="M7" s="1380" t="s">
        <v>469</v>
      </c>
      <c r="N7" s="1381"/>
      <c r="O7" s="1389"/>
      <c r="P7" s="1382" t="s">
        <v>469</v>
      </c>
      <c r="Q7" s="1383"/>
      <c r="R7" s="1383"/>
      <c r="S7" s="1384"/>
      <c r="T7" s="1348"/>
      <c r="U7" s="1370" t="s">
        <v>469</v>
      </c>
      <c r="V7" s="1370"/>
      <c r="W7" s="123"/>
      <c r="X7" s="1371"/>
      <c r="Y7" s="40" t="s">
        <v>258</v>
      </c>
      <c r="Z7" s="5" t="s">
        <v>473</v>
      </c>
    </row>
    <row r="8" spans="1:26" ht="25.5">
      <c r="A8" s="41" t="s">
        <v>259</v>
      </c>
      <c r="B8" s="42" t="s">
        <v>44</v>
      </c>
      <c r="C8" s="43">
        <f>SUM(C9:C13)</f>
        <v>1076573</v>
      </c>
      <c r="D8" s="43">
        <f>SUM(D9:D13)</f>
        <v>102000</v>
      </c>
      <c r="E8" s="44">
        <f>SUM(E9:E13)</f>
        <v>50000</v>
      </c>
      <c r="F8" s="44">
        <f t="shared" ref="F8:K8" si="0">SUM(F9:F13)</f>
        <v>0</v>
      </c>
      <c r="G8" s="44">
        <f t="shared" si="0"/>
        <v>0</v>
      </c>
      <c r="H8" s="44">
        <f t="shared" si="0"/>
        <v>0</v>
      </c>
      <c r="I8" s="44">
        <f t="shared" si="0"/>
        <v>0</v>
      </c>
      <c r="J8" s="44">
        <f t="shared" si="0"/>
        <v>0</v>
      </c>
      <c r="K8" s="44">
        <f t="shared" si="0"/>
        <v>0</v>
      </c>
      <c r="L8" s="45">
        <f t="shared" ref="L8:L38" si="1">SUM(F8:K8)</f>
        <v>0</v>
      </c>
      <c r="M8" s="44">
        <f t="shared" ref="M8:N8" si="2">SUM(M9:M13)</f>
        <v>0</v>
      </c>
      <c r="N8" s="44">
        <f t="shared" si="2"/>
        <v>0</v>
      </c>
      <c r="O8" s="46">
        <f>SUM(M8:N8)</f>
        <v>0</v>
      </c>
      <c r="P8" s="44">
        <f t="shared" ref="P8:S8" si="3">SUM(P9:P13)</f>
        <v>20000</v>
      </c>
      <c r="Q8" s="44">
        <f t="shared" si="3"/>
        <v>0</v>
      </c>
      <c r="R8" s="44">
        <f t="shared" si="3"/>
        <v>0</v>
      </c>
      <c r="S8" s="44">
        <f t="shared" si="3"/>
        <v>0</v>
      </c>
      <c r="T8" s="120">
        <f t="shared" ref="T8:T38" si="4">SUM(P8:S8)</f>
        <v>20000</v>
      </c>
      <c r="U8" s="63">
        <f t="shared" ref="U8:X8" si="5">SUM(U9:U13)</f>
        <v>32000</v>
      </c>
      <c r="V8" s="63">
        <f t="shared" si="5"/>
        <v>0</v>
      </c>
      <c r="W8" s="63"/>
      <c r="X8" s="63">
        <f t="shared" si="5"/>
        <v>32000</v>
      </c>
      <c r="Y8" s="47">
        <f>D8-E8-L8-O8-T8-X8</f>
        <v>0</v>
      </c>
      <c r="Z8" s="131">
        <f t="shared" ref="Z8:Z50" si="6">D8-C8</f>
        <v>-974573</v>
      </c>
    </row>
    <row r="9" spans="1:26">
      <c r="A9" s="48" t="s">
        <v>260</v>
      </c>
      <c r="B9" s="49"/>
      <c r="C9" s="1372">
        <v>1076573</v>
      </c>
      <c r="D9" s="50">
        <f>SUM(E9,,M9,U9,P9,Q9,R9,S9,J9,F9,N9,I9,G9,K9,H9,V9)</f>
        <v>0</v>
      </c>
      <c r="E9" s="51"/>
      <c r="F9" s="52"/>
      <c r="G9" s="53"/>
      <c r="H9" s="53"/>
      <c r="I9" s="53"/>
      <c r="J9" s="53"/>
      <c r="K9" s="53"/>
      <c r="L9" s="45">
        <f t="shared" si="1"/>
        <v>0</v>
      </c>
      <c r="M9" s="54"/>
      <c r="N9" s="53"/>
      <c r="O9" s="46">
        <f t="shared" ref="O9:O69" si="7">SUM(M9:N9)</f>
        <v>0</v>
      </c>
      <c r="P9" s="52"/>
      <c r="Q9" s="53"/>
      <c r="R9" s="53"/>
      <c r="S9" s="53"/>
      <c r="T9" s="120">
        <f t="shared" si="4"/>
        <v>0</v>
      </c>
      <c r="U9" s="53"/>
      <c r="V9" s="53"/>
      <c r="W9" s="53"/>
      <c r="X9" s="53">
        <f>SUM(U9:V9)</f>
        <v>0</v>
      </c>
      <c r="Y9" s="47">
        <f t="shared" ref="Y9:Y69" si="8">D9-E9-L9-O9-T9-X9</f>
        <v>0</v>
      </c>
      <c r="Z9" s="131">
        <f t="shared" si="6"/>
        <v>-1076573</v>
      </c>
    </row>
    <row r="10" spans="1:26">
      <c r="A10" s="55" t="s">
        <v>45</v>
      </c>
      <c r="B10" s="56"/>
      <c r="C10" s="1373"/>
      <c r="D10" s="50">
        <f t="shared" ref="D10:D21" si="9">SUM(E10,,M10,U10,P10,Q10,R10,S10,J10,F10,N10,I10,G10,K10,H10,V10)</f>
        <v>0</v>
      </c>
      <c r="E10" s="57"/>
      <c r="F10" s="58"/>
      <c r="G10" s="59"/>
      <c r="H10" s="59"/>
      <c r="I10" s="59"/>
      <c r="J10" s="59"/>
      <c r="K10" s="59"/>
      <c r="L10" s="45">
        <f t="shared" si="1"/>
        <v>0</v>
      </c>
      <c r="M10" s="58"/>
      <c r="N10" s="59"/>
      <c r="O10" s="46">
        <f t="shared" si="7"/>
        <v>0</v>
      </c>
      <c r="P10" s="58"/>
      <c r="Q10" s="59"/>
      <c r="R10" s="59"/>
      <c r="S10" s="59"/>
      <c r="T10" s="120">
        <f t="shared" si="4"/>
        <v>0</v>
      </c>
      <c r="U10" s="59"/>
      <c r="V10" s="59"/>
      <c r="W10" s="59"/>
      <c r="X10" s="53">
        <f t="shared" ref="X10:X13" si="10">SUM(U10:V10)</f>
        <v>0</v>
      </c>
      <c r="Y10" s="47">
        <f t="shared" si="8"/>
        <v>0</v>
      </c>
      <c r="Z10" s="131">
        <f t="shared" si="6"/>
        <v>0</v>
      </c>
    </row>
    <row r="11" spans="1:26">
      <c r="A11" s="55" t="s">
        <v>261</v>
      </c>
      <c r="B11" s="56"/>
      <c r="C11" s="1373"/>
      <c r="D11" s="50">
        <f t="shared" si="9"/>
        <v>0</v>
      </c>
      <c r="E11" s="57"/>
      <c r="F11" s="58"/>
      <c r="G11" s="59"/>
      <c r="H11" s="59"/>
      <c r="I11" s="59"/>
      <c r="J11" s="59"/>
      <c r="K11" s="59"/>
      <c r="L11" s="45">
        <f t="shared" si="1"/>
        <v>0</v>
      </c>
      <c r="M11" s="58"/>
      <c r="N11" s="59"/>
      <c r="O11" s="46">
        <f t="shared" si="7"/>
        <v>0</v>
      </c>
      <c r="P11" s="58"/>
      <c r="Q11" s="59"/>
      <c r="R11" s="59"/>
      <c r="S11" s="59"/>
      <c r="T11" s="120">
        <f t="shared" si="4"/>
        <v>0</v>
      </c>
      <c r="U11" s="59"/>
      <c r="V11" s="59"/>
      <c r="W11" s="59"/>
      <c r="X11" s="53">
        <f t="shared" si="10"/>
        <v>0</v>
      </c>
      <c r="Y11" s="47">
        <f t="shared" si="8"/>
        <v>0</v>
      </c>
      <c r="Z11" s="131">
        <f t="shared" si="6"/>
        <v>0</v>
      </c>
    </row>
    <row r="12" spans="1:26" ht="25.5">
      <c r="A12" s="55" t="s">
        <v>262</v>
      </c>
      <c r="B12" s="56"/>
      <c r="C12" s="1373"/>
      <c r="D12" s="50">
        <f t="shared" si="9"/>
        <v>0</v>
      </c>
      <c r="E12" s="57"/>
      <c r="F12" s="58"/>
      <c r="G12" s="59"/>
      <c r="H12" s="59"/>
      <c r="I12" s="59"/>
      <c r="J12" s="59"/>
      <c r="K12" s="59"/>
      <c r="L12" s="45">
        <f t="shared" si="1"/>
        <v>0</v>
      </c>
      <c r="M12" s="58"/>
      <c r="N12" s="59"/>
      <c r="O12" s="46">
        <f t="shared" si="7"/>
        <v>0</v>
      </c>
      <c r="P12" s="58"/>
      <c r="Q12" s="59"/>
      <c r="R12" s="59"/>
      <c r="S12" s="59"/>
      <c r="T12" s="120">
        <f t="shared" si="4"/>
        <v>0</v>
      </c>
      <c r="U12" s="59"/>
      <c r="V12" s="59"/>
      <c r="W12" s="59"/>
      <c r="X12" s="53">
        <f t="shared" si="10"/>
        <v>0</v>
      </c>
      <c r="Y12" s="47">
        <f t="shared" si="8"/>
        <v>0</v>
      </c>
      <c r="Z12" s="131">
        <f t="shared" si="6"/>
        <v>0</v>
      </c>
    </row>
    <row r="13" spans="1:26">
      <c r="A13" s="55" t="s">
        <v>263</v>
      </c>
      <c r="B13" s="56"/>
      <c r="C13" s="1374"/>
      <c r="D13" s="50">
        <f t="shared" si="9"/>
        <v>102000</v>
      </c>
      <c r="E13" s="57">
        <v>50000</v>
      </c>
      <c r="F13" s="58"/>
      <c r="G13" s="59"/>
      <c r="H13" s="59"/>
      <c r="I13" s="59"/>
      <c r="J13" s="59"/>
      <c r="K13" s="59"/>
      <c r="L13" s="45">
        <f t="shared" si="1"/>
        <v>0</v>
      </c>
      <c r="M13" s="58"/>
      <c r="N13" s="59"/>
      <c r="O13" s="46">
        <f t="shared" si="7"/>
        <v>0</v>
      </c>
      <c r="P13" s="58">
        <v>20000</v>
      </c>
      <c r="Q13" s="59"/>
      <c r="R13" s="59"/>
      <c r="S13" s="59"/>
      <c r="T13" s="120">
        <f t="shared" si="4"/>
        <v>20000</v>
      </c>
      <c r="U13" s="59">
        <v>32000</v>
      </c>
      <c r="V13" s="59"/>
      <c r="W13" s="59"/>
      <c r="X13" s="53">
        <f t="shared" si="10"/>
        <v>32000</v>
      </c>
      <c r="Y13" s="47">
        <f t="shared" si="8"/>
        <v>0</v>
      </c>
      <c r="Z13" s="131">
        <f t="shared" si="6"/>
        <v>102000</v>
      </c>
    </row>
    <row r="14" spans="1:26" ht="25.5">
      <c r="A14" s="41" t="s">
        <v>264</v>
      </c>
      <c r="B14" s="42" t="s">
        <v>49</v>
      </c>
      <c r="C14" s="126">
        <f t="shared" ref="C14:E14" si="11">SUM(C15:C20)</f>
        <v>2602404</v>
      </c>
      <c r="D14" s="60">
        <f>SUM(D15:D20)</f>
        <v>941000</v>
      </c>
      <c r="E14" s="44">
        <f t="shared" si="11"/>
        <v>175000</v>
      </c>
      <c r="F14" s="61">
        <f>SUM(F15:F20)</f>
        <v>500000</v>
      </c>
      <c r="G14" s="61">
        <f t="shared" ref="G14:K14" si="12">SUM(G15:G20)</f>
        <v>0</v>
      </c>
      <c r="H14" s="61">
        <f t="shared" si="12"/>
        <v>0</v>
      </c>
      <c r="I14" s="61">
        <f t="shared" si="12"/>
        <v>0</v>
      </c>
      <c r="J14" s="61">
        <f t="shared" si="12"/>
        <v>150000</v>
      </c>
      <c r="K14" s="61">
        <f t="shared" si="12"/>
        <v>0</v>
      </c>
      <c r="L14" s="45">
        <f t="shared" si="1"/>
        <v>650000</v>
      </c>
      <c r="M14" s="61">
        <f>SUM(M15:M20)</f>
        <v>0</v>
      </c>
      <c r="N14" s="62"/>
      <c r="O14" s="46">
        <f t="shared" si="7"/>
        <v>0</v>
      </c>
      <c r="P14" s="61">
        <f>SUM(P15:P20)</f>
        <v>116000</v>
      </c>
      <c r="Q14" s="63">
        <f>SUM(Q15:Q20)</f>
        <v>0</v>
      </c>
      <c r="R14" s="63">
        <f>SUM(R15:R20)</f>
        <v>0</v>
      </c>
      <c r="S14" s="62"/>
      <c r="T14" s="120">
        <f t="shared" si="4"/>
        <v>116000</v>
      </c>
      <c r="U14" s="63">
        <f>SUM(U15:U20)</f>
        <v>0</v>
      </c>
      <c r="V14" s="63">
        <f t="shared" ref="V14:X14" si="13">SUM(V15:V20)</f>
        <v>0</v>
      </c>
      <c r="W14" s="63"/>
      <c r="X14" s="63">
        <f t="shared" si="13"/>
        <v>0</v>
      </c>
      <c r="Y14" s="47">
        <f t="shared" si="8"/>
        <v>0</v>
      </c>
      <c r="Z14" s="131">
        <f t="shared" si="6"/>
        <v>-1661404</v>
      </c>
    </row>
    <row r="15" spans="1:26">
      <c r="A15" s="55" t="s">
        <v>265</v>
      </c>
      <c r="B15" s="56"/>
      <c r="C15" s="1364">
        <v>2602404</v>
      </c>
      <c r="D15" s="50">
        <f t="shared" si="9"/>
        <v>50000</v>
      </c>
      <c r="E15" s="64">
        <v>50000</v>
      </c>
      <c r="F15" s="58"/>
      <c r="G15" s="59"/>
      <c r="H15" s="59"/>
      <c r="I15" s="59"/>
      <c r="J15" s="59"/>
      <c r="K15" s="59"/>
      <c r="L15" s="45">
        <f t="shared" si="1"/>
        <v>0</v>
      </c>
      <c r="M15" s="58"/>
      <c r="N15" s="59"/>
      <c r="O15" s="46">
        <f t="shared" si="7"/>
        <v>0</v>
      </c>
      <c r="P15" s="58"/>
      <c r="Q15" s="59"/>
      <c r="R15" s="59"/>
      <c r="S15" s="59"/>
      <c r="T15" s="120">
        <f t="shared" si="4"/>
        <v>0</v>
      </c>
      <c r="U15" s="59"/>
      <c r="V15" s="59"/>
      <c r="W15" s="59"/>
      <c r="X15" s="53">
        <f t="shared" ref="X15:X20" si="14">SUM(U15:V15)</f>
        <v>0</v>
      </c>
      <c r="Y15" s="47">
        <f t="shared" si="8"/>
        <v>0</v>
      </c>
      <c r="Z15" s="131">
        <f t="shared" si="6"/>
        <v>-2552404</v>
      </c>
    </row>
    <row r="16" spans="1:26">
      <c r="A16" s="55" t="s">
        <v>266</v>
      </c>
      <c r="B16" s="56"/>
      <c r="C16" s="1365"/>
      <c r="D16" s="50">
        <f t="shared" si="9"/>
        <v>0</v>
      </c>
      <c r="E16" s="64"/>
      <c r="F16" s="58"/>
      <c r="G16" s="59"/>
      <c r="H16" s="59"/>
      <c r="I16" s="59"/>
      <c r="J16" s="59"/>
      <c r="K16" s="59"/>
      <c r="L16" s="45">
        <f t="shared" si="1"/>
        <v>0</v>
      </c>
      <c r="M16" s="58"/>
      <c r="N16" s="59"/>
      <c r="O16" s="46">
        <f t="shared" si="7"/>
        <v>0</v>
      </c>
      <c r="P16" s="58"/>
      <c r="Q16" s="59"/>
      <c r="R16" s="59"/>
      <c r="S16" s="59"/>
      <c r="T16" s="120">
        <f t="shared" si="4"/>
        <v>0</v>
      </c>
      <c r="U16" s="59"/>
      <c r="V16" s="59"/>
      <c r="W16" s="59"/>
      <c r="X16" s="53">
        <f t="shared" si="14"/>
        <v>0</v>
      </c>
      <c r="Y16" s="47">
        <f t="shared" si="8"/>
        <v>0</v>
      </c>
      <c r="Z16" s="131">
        <f t="shared" si="6"/>
        <v>0</v>
      </c>
    </row>
    <row r="17" spans="1:26" ht="25.5">
      <c r="A17" s="55" t="s">
        <v>267</v>
      </c>
      <c r="B17" s="56"/>
      <c r="C17" s="1365"/>
      <c r="D17" s="50">
        <f t="shared" si="9"/>
        <v>150000</v>
      </c>
      <c r="E17" s="64"/>
      <c r="F17" s="58"/>
      <c r="G17" s="59"/>
      <c r="H17" s="59"/>
      <c r="I17" s="59"/>
      <c r="J17" s="59">
        <v>150000</v>
      </c>
      <c r="K17" s="59"/>
      <c r="L17" s="45">
        <f t="shared" si="1"/>
        <v>150000</v>
      </c>
      <c r="M17" s="58"/>
      <c r="N17" s="59"/>
      <c r="O17" s="46">
        <f t="shared" si="7"/>
        <v>0</v>
      </c>
      <c r="P17" s="58"/>
      <c r="Q17" s="59"/>
      <c r="R17" s="59"/>
      <c r="S17" s="59"/>
      <c r="T17" s="120">
        <f t="shared" si="4"/>
        <v>0</v>
      </c>
      <c r="U17" s="59"/>
      <c r="V17" s="59"/>
      <c r="W17" s="59"/>
      <c r="X17" s="53">
        <f t="shared" si="14"/>
        <v>0</v>
      </c>
      <c r="Y17" s="47">
        <f t="shared" si="8"/>
        <v>0</v>
      </c>
      <c r="Z17" s="131">
        <f t="shared" si="6"/>
        <v>150000</v>
      </c>
    </row>
    <row r="18" spans="1:26" ht="25.5">
      <c r="A18" s="55" t="s">
        <v>268</v>
      </c>
      <c r="B18" s="56"/>
      <c r="C18" s="1365"/>
      <c r="D18" s="50">
        <f t="shared" si="9"/>
        <v>0</v>
      </c>
      <c r="E18" s="64"/>
      <c r="F18" s="58"/>
      <c r="G18" s="59"/>
      <c r="H18" s="59"/>
      <c r="I18" s="59"/>
      <c r="J18" s="59"/>
      <c r="K18" s="59"/>
      <c r="L18" s="45">
        <f t="shared" si="1"/>
        <v>0</v>
      </c>
      <c r="M18" s="58"/>
      <c r="N18" s="59"/>
      <c r="O18" s="46">
        <f t="shared" si="7"/>
        <v>0</v>
      </c>
      <c r="P18" s="58"/>
      <c r="Q18" s="59"/>
      <c r="R18" s="59"/>
      <c r="S18" s="59"/>
      <c r="T18" s="120">
        <f t="shared" si="4"/>
        <v>0</v>
      </c>
      <c r="U18" s="59"/>
      <c r="V18" s="59"/>
      <c r="W18" s="59"/>
      <c r="X18" s="53">
        <f t="shared" si="14"/>
        <v>0</v>
      </c>
      <c r="Y18" s="47">
        <f t="shared" si="8"/>
        <v>0</v>
      </c>
      <c r="Z18" s="131">
        <f t="shared" si="6"/>
        <v>0</v>
      </c>
    </row>
    <row r="19" spans="1:26">
      <c r="A19" s="55" t="s">
        <v>54</v>
      </c>
      <c r="B19" s="56"/>
      <c r="C19" s="1365"/>
      <c r="D19" s="50">
        <f t="shared" si="9"/>
        <v>0</v>
      </c>
      <c r="E19" s="64"/>
      <c r="F19" s="58"/>
      <c r="G19" s="59"/>
      <c r="H19" s="59"/>
      <c r="I19" s="59"/>
      <c r="J19" s="59"/>
      <c r="K19" s="59"/>
      <c r="L19" s="45">
        <f t="shared" si="1"/>
        <v>0</v>
      </c>
      <c r="M19" s="58"/>
      <c r="N19" s="59"/>
      <c r="O19" s="46">
        <f t="shared" si="7"/>
        <v>0</v>
      </c>
      <c r="P19" s="58"/>
      <c r="Q19" s="59"/>
      <c r="R19" s="59"/>
      <c r="S19" s="59"/>
      <c r="T19" s="120">
        <f t="shared" si="4"/>
        <v>0</v>
      </c>
      <c r="U19" s="59"/>
      <c r="V19" s="59"/>
      <c r="W19" s="59"/>
      <c r="X19" s="53">
        <f t="shared" si="14"/>
        <v>0</v>
      </c>
      <c r="Y19" s="47">
        <f t="shared" si="8"/>
        <v>0</v>
      </c>
      <c r="Z19" s="131">
        <f t="shared" si="6"/>
        <v>0</v>
      </c>
    </row>
    <row r="20" spans="1:26" ht="25.5">
      <c r="A20" s="55" t="s">
        <v>269</v>
      </c>
      <c r="B20" s="56"/>
      <c r="C20" s="1366"/>
      <c r="D20" s="50">
        <f t="shared" si="9"/>
        <v>741000</v>
      </c>
      <c r="E20" s="64">
        <v>125000</v>
      </c>
      <c r="F20" s="136">
        <v>500000</v>
      </c>
      <c r="G20" s="59"/>
      <c r="H20" s="59"/>
      <c r="I20" s="59"/>
      <c r="J20" s="59"/>
      <c r="K20" s="59"/>
      <c r="L20" s="45">
        <f t="shared" si="1"/>
        <v>500000</v>
      </c>
      <c r="M20" s="58"/>
      <c r="N20" s="59"/>
      <c r="O20" s="46">
        <f t="shared" si="7"/>
        <v>0</v>
      </c>
      <c r="P20" s="58">
        <v>116000</v>
      </c>
      <c r="Q20" s="59"/>
      <c r="R20" s="59"/>
      <c r="S20" s="59"/>
      <c r="T20" s="120">
        <f t="shared" si="4"/>
        <v>116000</v>
      </c>
      <c r="U20" s="59"/>
      <c r="V20" s="59"/>
      <c r="W20" s="59"/>
      <c r="X20" s="53">
        <f t="shared" si="14"/>
        <v>0</v>
      </c>
      <c r="Y20" s="47">
        <f t="shared" si="8"/>
        <v>0</v>
      </c>
      <c r="Z20" s="131">
        <f t="shared" si="6"/>
        <v>741000</v>
      </c>
    </row>
    <row r="21" spans="1:26">
      <c r="A21" s="41" t="s">
        <v>270</v>
      </c>
      <c r="B21" s="42" t="s">
        <v>271</v>
      </c>
      <c r="C21" s="127"/>
      <c r="D21" s="50">
        <f t="shared" si="9"/>
        <v>0</v>
      </c>
      <c r="E21" s="65"/>
      <c r="F21" s="66"/>
      <c r="G21" s="62"/>
      <c r="H21" s="62"/>
      <c r="I21" s="62"/>
      <c r="J21" s="62"/>
      <c r="K21" s="62"/>
      <c r="L21" s="45">
        <f t="shared" si="1"/>
        <v>0</v>
      </c>
      <c r="M21" s="66">
        <v>0</v>
      </c>
      <c r="N21" s="62"/>
      <c r="O21" s="46">
        <f t="shared" si="7"/>
        <v>0</v>
      </c>
      <c r="P21" s="66"/>
      <c r="Q21" s="62"/>
      <c r="R21" s="62"/>
      <c r="S21" s="62"/>
      <c r="T21" s="120">
        <f t="shared" si="4"/>
        <v>0</v>
      </c>
      <c r="U21" s="62"/>
      <c r="V21" s="62"/>
      <c r="W21" s="62"/>
      <c r="X21" s="62"/>
      <c r="Y21" s="47">
        <f t="shared" si="8"/>
        <v>0</v>
      </c>
      <c r="Z21" s="131">
        <f t="shared" si="6"/>
        <v>0</v>
      </c>
    </row>
    <row r="22" spans="1:26">
      <c r="A22" s="67" t="s">
        <v>272</v>
      </c>
      <c r="B22" s="68" t="s">
        <v>56</v>
      </c>
      <c r="C22" s="70">
        <f>SUM(C14,C8,C21)</f>
        <v>3678977</v>
      </c>
      <c r="D22" s="69">
        <f>SUM(D14,D8,D21)</f>
        <v>1043000</v>
      </c>
      <c r="E22" s="70">
        <f>SUM(E14,E8,E21)</f>
        <v>225000</v>
      </c>
      <c r="F22" s="70">
        <f t="shared" ref="F22:K22" si="15">SUM(F14,F8,F21)</f>
        <v>500000</v>
      </c>
      <c r="G22" s="70">
        <f t="shared" si="15"/>
        <v>0</v>
      </c>
      <c r="H22" s="70">
        <f t="shared" si="15"/>
        <v>0</v>
      </c>
      <c r="I22" s="70">
        <f t="shared" si="15"/>
        <v>0</v>
      </c>
      <c r="J22" s="70">
        <f t="shared" si="15"/>
        <v>150000</v>
      </c>
      <c r="K22" s="70">
        <f t="shared" si="15"/>
        <v>0</v>
      </c>
      <c r="L22" s="45">
        <f t="shared" si="1"/>
        <v>650000</v>
      </c>
      <c r="M22" s="70">
        <f t="shared" ref="M22:N22" si="16">SUM(M14,M8,M21)</f>
        <v>0</v>
      </c>
      <c r="N22" s="70">
        <f t="shared" si="16"/>
        <v>0</v>
      </c>
      <c r="O22" s="46">
        <f t="shared" si="7"/>
        <v>0</v>
      </c>
      <c r="P22" s="70">
        <f t="shared" ref="P22:S22" si="17">SUM(P14,P8,P21)</f>
        <v>136000</v>
      </c>
      <c r="Q22" s="70">
        <f t="shared" si="17"/>
        <v>0</v>
      </c>
      <c r="R22" s="70">
        <f t="shared" si="17"/>
        <v>0</v>
      </c>
      <c r="S22" s="70">
        <f t="shared" si="17"/>
        <v>0</v>
      </c>
      <c r="T22" s="120">
        <f t="shared" si="4"/>
        <v>136000</v>
      </c>
      <c r="U22" s="72">
        <f>SUM(U14,U8,U21)</f>
        <v>32000</v>
      </c>
      <c r="V22" s="72">
        <f t="shared" ref="V22:X22" si="18">SUM(V14,V8,V21)</f>
        <v>0</v>
      </c>
      <c r="W22" s="72"/>
      <c r="X22" s="72">
        <f t="shared" si="18"/>
        <v>32000</v>
      </c>
      <c r="Y22" s="47">
        <f t="shared" si="8"/>
        <v>0</v>
      </c>
      <c r="Z22" s="131">
        <f t="shared" si="6"/>
        <v>-2635977</v>
      </c>
    </row>
    <row r="23" spans="1:26" ht="38.25">
      <c r="A23" s="41" t="s">
        <v>273</v>
      </c>
      <c r="B23" s="42" t="s">
        <v>58</v>
      </c>
      <c r="C23" s="65">
        <f t="shared" ref="C23:E23" si="19">SUM(C24:C27)</f>
        <v>1333858</v>
      </c>
      <c r="D23" s="60">
        <f>SUM(D24:D27)</f>
        <v>264000</v>
      </c>
      <c r="E23" s="65">
        <f t="shared" si="19"/>
        <v>240000</v>
      </c>
      <c r="F23" s="66"/>
      <c r="G23" s="62"/>
      <c r="H23" s="62"/>
      <c r="I23" s="62"/>
      <c r="J23" s="62"/>
      <c r="K23" s="62"/>
      <c r="L23" s="45">
        <f t="shared" si="1"/>
        <v>0</v>
      </c>
      <c r="M23" s="66">
        <f t="shared" ref="M23" si="20">SUM(M24:M27)</f>
        <v>0</v>
      </c>
      <c r="N23" s="62"/>
      <c r="O23" s="46">
        <f t="shared" si="7"/>
        <v>0</v>
      </c>
      <c r="P23" s="62">
        <f t="shared" ref="P23:X23" si="21">SUM(P24:P27)</f>
        <v>0</v>
      </c>
      <c r="Q23" s="62">
        <f t="shared" si="21"/>
        <v>0</v>
      </c>
      <c r="R23" s="62">
        <f t="shared" si="21"/>
        <v>0</v>
      </c>
      <c r="S23" s="62">
        <f t="shared" si="21"/>
        <v>0</v>
      </c>
      <c r="T23" s="120">
        <f t="shared" si="4"/>
        <v>0</v>
      </c>
      <c r="U23" s="62">
        <f t="shared" si="21"/>
        <v>24000</v>
      </c>
      <c r="V23" s="62">
        <f t="shared" si="21"/>
        <v>0</v>
      </c>
      <c r="W23" s="62"/>
      <c r="X23" s="62">
        <f t="shared" si="21"/>
        <v>24000</v>
      </c>
      <c r="Y23" s="47">
        <f t="shared" si="8"/>
        <v>0</v>
      </c>
      <c r="Z23" s="131">
        <f t="shared" si="6"/>
        <v>-1069858</v>
      </c>
    </row>
    <row r="24" spans="1:26" ht="38.25">
      <c r="A24" s="55" t="s">
        <v>274</v>
      </c>
      <c r="B24" s="56"/>
      <c r="C24" s="1364">
        <v>1333858</v>
      </c>
      <c r="D24" s="50">
        <f t="shared" ref="D24:D27" si="22">SUM(E24,,M24,U24,P24,Q24,R24,S24,J24,F24,N24,I24,G24,K24,H24,V24)</f>
        <v>0</v>
      </c>
      <c r="E24" s="57"/>
      <c r="F24" s="58"/>
      <c r="G24" s="59"/>
      <c r="H24" s="59"/>
      <c r="I24" s="59"/>
      <c r="J24" s="59"/>
      <c r="K24" s="59"/>
      <c r="L24" s="45">
        <f t="shared" si="1"/>
        <v>0</v>
      </c>
      <c r="M24" s="58"/>
      <c r="N24" s="59"/>
      <c r="O24" s="46">
        <f t="shared" si="7"/>
        <v>0</v>
      </c>
      <c r="P24" s="58"/>
      <c r="Q24" s="59"/>
      <c r="R24" s="59"/>
      <c r="S24" s="59"/>
      <c r="T24" s="120">
        <f t="shared" si="4"/>
        <v>0</v>
      </c>
      <c r="U24" s="59"/>
      <c r="V24" s="59"/>
      <c r="W24" s="59"/>
      <c r="X24" s="53">
        <f t="shared" ref="X24:X30" si="23">SUM(U24:V24)</f>
        <v>0</v>
      </c>
      <c r="Y24" s="47">
        <f t="shared" si="8"/>
        <v>0</v>
      </c>
      <c r="Z24" s="131">
        <f t="shared" si="6"/>
        <v>-1333858</v>
      </c>
    </row>
    <row r="25" spans="1:26" ht="25.5">
      <c r="A25" s="55" t="s">
        <v>275</v>
      </c>
      <c r="B25" s="56"/>
      <c r="C25" s="1365"/>
      <c r="D25" s="50">
        <f t="shared" si="22"/>
        <v>0</v>
      </c>
      <c r="E25" s="57"/>
      <c r="F25" s="58"/>
      <c r="G25" s="59"/>
      <c r="H25" s="59"/>
      <c r="I25" s="59"/>
      <c r="J25" s="59"/>
      <c r="K25" s="59"/>
      <c r="L25" s="45">
        <f t="shared" si="1"/>
        <v>0</v>
      </c>
      <c r="M25" s="58"/>
      <c r="N25" s="59"/>
      <c r="O25" s="46">
        <f t="shared" si="7"/>
        <v>0</v>
      </c>
      <c r="P25" s="58"/>
      <c r="Q25" s="59"/>
      <c r="R25" s="59"/>
      <c r="S25" s="59"/>
      <c r="T25" s="120">
        <f t="shared" si="4"/>
        <v>0</v>
      </c>
      <c r="U25" s="59"/>
      <c r="V25" s="59"/>
      <c r="W25" s="59"/>
      <c r="X25" s="53">
        <f t="shared" si="23"/>
        <v>0</v>
      </c>
      <c r="Y25" s="47">
        <f t="shared" si="8"/>
        <v>0</v>
      </c>
      <c r="Z25" s="131">
        <f t="shared" si="6"/>
        <v>0</v>
      </c>
    </row>
    <row r="26" spans="1:26" ht="25.5">
      <c r="A26" s="55" t="s">
        <v>276</v>
      </c>
      <c r="B26" s="56"/>
      <c r="C26" s="1365"/>
      <c r="D26" s="50">
        <f t="shared" si="22"/>
        <v>0</v>
      </c>
      <c r="E26" s="57"/>
      <c r="F26" s="58"/>
      <c r="G26" s="59"/>
      <c r="H26" s="59"/>
      <c r="I26" s="59"/>
      <c r="J26" s="59"/>
      <c r="K26" s="59"/>
      <c r="L26" s="45">
        <f t="shared" si="1"/>
        <v>0</v>
      </c>
      <c r="M26" s="58"/>
      <c r="N26" s="59"/>
      <c r="O26" s="46">
        <f t="shared" si="7"/>
        <v>0</v>
      </c>
      <c r="P26" s="58"/>
      <c r="Q26" s="59"/>
      <c r="R26" s="59"/>
      <c r="S26" s="59"/>
      <c r="T26" s="120">
        <f t="shared" si="4"/>
        <v>0</v>
      </c>
      <c r="U26" s="59"/>
      <c r="V26" s="59"/>
      <c r="W26" s="59"/>
      <c r="X26" s="53">
        <f t="shared" si="23"/>
        <v>0</v>
      </c>
      <c r="Y26" s="47">
        <f t="shared" si="8"/>
        <v>0</v>
      </c>
      <c r="Z26" s="131">
        <f t="shared" si="6"/>
        <v>0</v>
      </c>
    </row>
    <row r="27" spans="1:26" ht="38.25">
      <c r="A27" s="55" t="s">
        <v>277</v>
      </c>
      <c r="B27" s="56"/>
      <c r="C27" s="1366"/>
      <c r="D27" s="50">
        <f t="shared" si="22"/>
        <v>264000</v>
      </c>
      <c r="E27" s="57">
        <v>240000</v>
      </c>
      <c r="F27" s="58"/>
      <c r="G27" s="59"/>
      <c r="H27" s="59"/>
      <c r="I27" s="59"/>
      <c r="J27" s="59"/>
      <c r="K27" s="59"/>
      <c r="L27" s="45">
        <f t="shared" si="1"/>
        <v>0</v>
      </c>
      <c r="M27" s="58"/>
      <c r="N27" s="59"/>
      <c r="O27" s="46">
        <f t="shared" si="7"/>
        <v>0</v>
      </c>
      <c r="P27" s="58"/>
      <c r="Q27" s="59"/>
      <c r="R27" s="59"/>
      <c r="S27" s="59"/>
      <c r="T27" s="120">
        <f t="shared" si="4"/>
        <v>0</v>
      </c>
      <c r="U27" s="59">
        <v>24000</v>
      </c>
      <c r="V27" s="59"/>
      <c r="W27" s="59"/>
      <c r="X27" s="53">
        <f t="shared" si="23"/>
        <v>24000</v>
      </c>
      <c r="Y27" s="47">
        <f t="shared" si="8"/>
        <v>0</v>
      </c>
      <c r="Z27" s="131">
        <f t="shared" si="6"/>
        <v>264000</v>
      </c>
    </row>
    <row r="28" spans="1:26" ht="25.5">
      <c r="A28" s="41" t="s">
        <v>278</v>
      </c>
      <c r="B28" s="42" t="s">
        <v>60</v>
      </c>
      <c r="C28" s="44">
        <f t="shared" ref="C28:E28" si="24">SUM(C29:C30)</f>
        <v>156442</v>
      </c>
      <c r="D28" s="43">
        <f>SUM(D29:D30)</f>
        <v>86000</v>
      </c>
      <c r="E28" s="44">
        <f t="shared" si="24"/>
        <v>22000</v>
      </c>
      <c r="F28" s="66"/>
      <c r="G28" s="62"/>
      <c r="H28" s="62"/>
      <c r="I28" s="62"/>
      <c r="J28" s="62"/>
      <c r="K28" s="62"/>
      <c r="L28" s="45">
        <f t="shared" si="1"/>
        <v>0</v>
      </c>
      <c r="M28" s="61">
        <f>SUM(M29:M30)</f>
        <v>0</v>
      </c>
      <c r="N28" s="62"/>
      <c r="O28" s="46">
        <f t="shared" si="7"/>
        <v>0</v>
      </c>
      <c r="P28" s="63">
        <f t="shared" ref="P28:X28" si="25">SUM(P29:P30)</f>
        <v>4000</v>
      </c>
      <c r="Q28" s="63">
        <f t="shared" si="25"/>
        <v>0</v>
      </c>
      <c r="R28" s="63">
        <f t="shared" si="25"/>
        <v>0</v>
      </c>
      <c r="S28" s="63">
        <f t="shared" si="25"/>
        <v>0</v>
      </c>
      <c r="T28" s="120">
        <f t="shared" si="4"/>
        <v>4000</v>
      </c>
      <c r="U28" s="63">
        <f t="shared" si="25"/>
        <v>60000</v>
      </c>
      <c r="V28" s="63">
        <f t="shared" si="25"/>
        <v>0</v>
      </c>
      <c r="W28" s="63"/>
      <c r="X28" s="63">
        <f t="shared" si="25"/>
        <v>60000</v>
      </c>
      <c r="Y28" s="47">
        <f t="shared" si="8"/>
        <v>0</v>
      </c>
      <c r="Z28" s="131">
        <f t="shared" si="6"/>
        <v>-70442</v>
      </c>
    </row>
    <row r="29" spans="1:26" ht="25.5">
      <c r="A29" s="55" t="s">
        <v>279</v>
      </c>
      <c r="B29" s="56"/>
      <c r="C29" s="1364">
        <v>156442</v>
      </c>
      <c r="D29" s="50">
        <f t="shared" ref="D29:D30" si="26">SUM(E29,,M29,U29,P29,Q29,R29,S29,J29,F29,N29,I29,G29,K29,H29,V29)</f>
        <v>26000</v>
      </c>
      <c r="E29" s="64">
        <v>22000</v>
      </c>
      <c r="F29" s="58"/>
      <c r="G29" s="59"/>
      <c r="H29" s="59"/>
      <c r="I29" s="59"/>
      <c r="J29" s="59"/>
      <c r="K29" s="59"/>
      <c r="L29" s="45">
        <f t="shared" si="1"/>
        <v>0</v>
      </c>
      <c r="M29" s="58"/>
      <c r="N29" s="59"/>
      <c r="O29" s="46">
        <f t="shared" si="7"/>
        <v>0</v>
      </c>
      <c r="P29" s="58">
        <v>4000</v>
      </c>
      <c r="Q29" s="59"/>
      <c r="R29" s="59"/>
      <c r="S29" s="59"/>
      <c r="T29" s="120">
        <f t="shared" si="4"/>
        <v>4000</v>
      </c>
      <c r="U29" s="59"/>
      <c r="V29" s="59"/>
      <c r="W29" s="59"/>
      <c r="X29" s="53">
        <f t="shared" si="23"/>
        <v>0</v>
      </c>
      <c r="Y29" s="47">
        <f t="shared" si="8"/>
        <v>0</v>
      </c>
      <c r="Z29" s="131">
        <f t="shared" si="6"/>
        <v>-130442</v>
      </c>
    </row>
    <row r="30" spans="1:26" ht="38.25">
      <c r="A30" s="55" t="s">
        <v>280</v>
      </c>
      <c r="B30" s="56"/>
      <c r="C30" s="1366"/>
      <c r="D30" s="50">
        <f t="shared" si="26"/>
        <v>60000</v>
      </c>
      <c r="E30" s="64"/>
      <c r="F30" s="58"/>
      <c r="G30" s="59"/>
      <c r="H30" s="59"/>
      <c r="I30" s="59"/>
      <c r="J30" s="59"/>
      <c r="K30" s="59"/>
      <c r="L30" s="45">
        <f t="shared" si="1"/>
        <v>0</v>
      </c>
      <c r="M30" s="58"/>
      <c r="N30" s="59"/>
      <c r="O30" s="46">
        <f t="shared" si="7"/>
        <v>0</v>
      </c>
      <c r="P30" s="58"/>
      <c r="Q30" s="59"/>
      <c r="R30" s="59"/>
      <c r="S30" s="59"/>
      <c r="T30" s="120">
        <f t="shared" si="4"/>
        <v>0</v>
      </c>
      <c r="U30" s="59">
        <v>60000</v>
      </c>
      <c r="V30" s="59"/>
      <c r="W30" s="59"/>
      <c r="X30" s="53">
        <f t="shared" si="23"/>
        <v>60000</v>
      </c>
      <c r="Y30" s="47">
        <f t="shared" si="8"/>
        <v>0</v>
      </c>
      <c r="Z30" s="131">
        <f t="shared" si="6"/>
        <v>60000</v>
      </c>
    </row>
    <row r="31" spans="1:26" ht="25.5">
      <c r="A31" s="67" t="s">
        <v>62</v>
      </c>
      <c r="B31" s="68" t="s">
        <v>63</v>
      </c>
      <c r="C31" s="70">
        <f>SUM(C23,C28)</f>
        <v>1490300</v>
      </c>
      <c r="D31" s="69">
        <f t="shared" ref="D31:E31" si="27">SUM(D23,D28)</f>
        <v>350000</v>
      </c>
      <c r="E31" s="70">
        <f t="shared" si="27"/>
        <v>262000</v>
      </c>
      <c r="F31" s="71">
        <f>SUM(F23,F28)</f>
        <v>0</v>
      </c>
      <c r="G31" s="72">
        <f>SUM(G23,G28)</f>
        <v>0</v>
      </c>
      <c r="H31" s="72"/>
      <c r="I31" s="72">
        <f>SUM(I23,I28)</f>
        <v>0</v>
      </c>
      <c r="J31" s="72">
        <f>SUM(J23,J28)</f>
        <v>0</v>
      </c>
      <c r="K31" s="72">
        <f>SUM(K23,K28)</f>
        <v>0</v>
      </c>
      <c r="L31" s="45">
        <f t="shared" si="1"/>
        <v>0</v>
      </c>
      <c r="M31" s="71">
        <f>SUM(M23,M28)</f>
        <v>0</v>
      </c>
      <c r="N31" s="72">
        <f>SUM(N23,N28)</f>
        <v>0</v>
      </c>
      <c r="O31" s="46">
        <f t="shared" si="7"/>
        <v>0</v>
      </c>
      <c r="P31" s="71">
        <f>SUM(P23,P28)</f>
        <v>4000</v>
      </c>
      <c r="Q31" s="72">
        <f>SUM(Q23,Q28)</f>
        <v>0</v>
      </c>
      <c r="R31" s="72">
        <f>SUM(R23,R28)</f>
        <v>0</v>
      </c>
      <c r="S31" s="72">
        <f>SUM(S23,S28)</f>
        <v>0</v>
      </c>
      <c r="T31" s="120">
        <f t="shared" si="4"/>
        <v>4000</v>
      </c>
      <c r="U31" s="72">
        <f>SUM(U23,U28)</f>
        <v>84000</v>
      </c>
      <c r="V31" s="72">
        <f t="shared" ref="V31:X31" si="28">SUM(V23,V28)</f>
        <v>0</v>
      </c>
      <c r="W31" s="72"/>
      <c r="X31" s="72">
        <f t="shared" si="28"/>
        <v>84000</v>
      </c>
      <c r="Y31" s="47">
        <f t="shared" si="8"/>
        <v>0</v>
      </c>
      <c r="Z31" s="131">
        <f t="shared" si="6"/>
        <v>-1140300</v>
      </c>
    </row>
    <row r="32" spans="1:26">
      <c r="A32" s="41" t="s">
        <v>281</v>
      </c>
      <c r="B32" s="42" t="s">
        <v>65</v>
      </c>
      <c r="C32" s="44">
        <f t="shared" ref="C32:E32" si="29">SUM(C33:C35)</f>
        <v>5592134</v>
      </c>
      <c r="D32" s="43">
        <f t="shared" si="29"/>
        <v>4872000</v>
      </c>
      <c r="E32" s="44">
        <f t="shared" si="29"/>
        <v>220000</v>
      </c>
      <c r="F32" s="61">
        <f>SUM(F33:F35)</f>
        <v>1330000</v>
      </c>
      <c r="G32" s="61">
        <f t="shared" ref="G32:K32" si="30">SUM(G33:G35)</f>
        <v>0</v>
      </c>
      <c r="H32" s="61">
        <f t="shared" si="30"/>
        <v>2200000</v>
      </c>
      <c r="I32" s="61">
        <f t="shared" si="30"/>
        <v>62000</v>
      </c>
      <c r="J32" s="61">
        <f t="shared" si="30"/>
        <v>0</v>
      </c>
      <c r="K32" s="61">
        <f t="shared" si="30"/>
        <v>0</v>
      </c>
      <c r="L32" s="45">
        <f t="shared" si="1"/>
        <v>3592000</v>
      </c>
      <c r="M32" s="66"/>
      <c r="N32" s="62"/>
      <c r="O32" s="46">
        <f t="shared" si="7"/>
        <v>0</v>
      </c>
      <c r="P32" s="61">
        <f t="shared" ref="P32:S32" si="31">SUM(P33:P35)</f>
        <v>0</v>
      </c>
      <c r="Q32" s="63">
        <f t="shared" si="31"/>
        <v>0</v>
      </c>
      <c r="R32" s="63">
        <f t="shared" si="31"/>
        <v>0</v>
      </c>
      <c r="S32" s="63">
        <f t="shared" si="31"/>
        <v>0</v>
      </c>
      <c r="T32" s="120">
        <f t="shared" si="4"/>
        <v>0</v>
      </c>
      <c r="U32" s="63">
        <f>SUM(U33:U35)</f>
        <v>1060000</v>
      </c>
      <c r="V32" s="63">
        <f t="shared" ref="V32:X32" si="32">SUM(V33:V35)</f>
        <v>0</v>
      </c>
      <c r="W32" s="63"/>
      <c r="X32" s="63">
        <f t="shared" si="32"/>
        <v>1060000</v>
      </c>
      <c r="Y32" s="47">
        <f t="shared" si="8"/>
        <v>0</v>
      </c>
      <c r="Z32" s="131">
        <f t="shared" si="6"/>
        <v>-720134</v>
      </c>
    </row>
    <row r="33" spans="1:26">
      <c r="A33" s="55" t="s">
        <v>282</v>
      </c>
      <c r="B33" s="56"/>
      <c r="C33" s="1364">
        <v>5592134</v>
      </c>
      <c r="D33" s="50">
        <f t="shared" ref="D33:D39" si="33">SUM(E33,,M33,U33,P33,Q33,R33,S33,J33,F33,N33,I33,G33,K33,H33,V33)</f>
        <v>3410000</v>
      </c>
      <c r="E33" s="57"/>
      <c r="F33" s="58">
        <v>800000</v>
      </c>
      <c r="G33" s="59"/>
      <c r="H33" s="137">
        <v>2200000</v>
      </c>
      <c r="I33" s="59"/>
      <c r="J33" s="59"/>
      <c r="K33" s="59"/>
      <c r="L33" s="45">
        <f t="shared" si="1"/>
        <v>3000000</v>
      </c>
      <c r="M33" s="58"/>
      <c r="N33" s="59"/>
      <c r="O33" s="46">
        <f t="shared" si="7"/>
        <v>0</v>
      </c>
      <c r="P33" s="58"/>
      <c r="Q33" s="59"/>
      <c r="R33" s="59"/>
      <c r="S33" s="59"/>
      <c r="T33" s="120">
        <f t="shared" si="4"/>
        <v>0</v>
      </c>
      <c r="U33" s="59">
        <v>410000</v>
      </c>
      <c r="V33" s="59"/>
      <c r="W33" s="59"/>
      <c r="X33" s="53">
        <f t="shared" ref="X33:X35" si="34">SUM(U33:V33)</f>
        <v>410000</v>
      </c>
      <c r="Y33" s="47">
        <f t="shared" si="8"/>
        <v>0</v>
      </c>
      <c r="Z33" s="131">
        <f t="shared" si="6"/>
        <v>-2182134</v>
      </c>
    </row>
    <row r="34" spans="1:26">
      <c r="A34" s="55" t="s">
        <v>283</v>
      </c>
      <c r="B34" s="56"/>
      <c r="C34" s="1365"/>
      <c r="D34" s="50">
        <f t="shared" si="33"/>
        <v>1195000</v>
      </c>
      <c r="E34" s="57">
        <v>220000</v>
      </c>
      <c r="F34" s="58">
        <v>475000</v>
      </c>
      <c r="G34" s="59"/>
      <c r="H34" s="59"/>
      <c r="I34" s="59"/>
      <c r="J34" s="59"/>
      <c r="K34" s="59"/>
      <c r="L34" s="45">
        <f t="shared" si="1"/>
        <v>475000</v>
      </c>
      <c r="M34" s="58"/>
      <c r="N34" s="59"/>
      <c r="O34" s="46">
        <f t="shared" si="7"/>
        <v>0</v>
      </c>
      <c r="P34" s="58"/>
      <c r="Q34" s="59"/>
      <c r="R34" s="59"/>
      <c r="S34" s="59"/>
      <c r="T34" s="120">
        <f t="shared" si="4"/>
        <v>0</v>
      </c>
      <c r="U34" s="59">
        <v>500000</v>
      </c>
      <c r="V34" s="59"/>
      <c r="W34" s="59"/>
      <c r="X34" s="53">
        <f t="shared" si="34"/>
        <v>500000</v>
      </c>
      <c r="Y34" s="47">
        <f t="shared" si="8"/>
        <v>0</v>
      </c>
      <c r="Z34" s="131">
        <f t="shared" si="6"/>
        <v>1195000</v>
      </c>
    </row>
    <row r="35" spans="1:26">
      <c r="A35" s="55" t="s">
        <v>284</v>
      </c>
      <c r="B35" s="56"/>
      <c r="C35" s="1366"/>
      <c r="D35" s="50">
        <f t="shared" si="33"/>
        <v>267000</v>
      </c>
      <c r="E35" s="57"/>
      <c r="F35" s="58">
        <v>55000</v>
      </c>
      <c r="G35" s="59"/>
      <c r="H35" s="59"/>
      <c r="I35" s="59">
        <v>62000</v>
      </c>
      <c r="J35" s="59"/>
      <c r="K35" s="59"/>
      <c r="L35" s="45">
        <f t="shared" si="1"/>
        <v>117000</v>
      </c>
      <c r="M35" s="58"/>
      <c r="N35" s="59"/>
      <c r="O35" s="46">
        <f t="shared" si="7"/>
        <v>0</v>
      </c>
      <c r="P35" s="58"/>
      <c r="Q35" s="59"/>
      <c r="R35" s="59"/>
      <c r="S35" s="59"/>
      <c r="T35" s="120">
        <f t="shared" si="4"/>
        <v>0</v>
      </c>
      <c r="U35" s="59">
        <v>150000</v>
      </c>
      <c r="V35" s="59"/>
      <c r="W35" s="59"/>
      <c r="X35" s="53">
        <f t="shared" si="34"/>
        <v>150000</v>
      </c>
      <c r="Y35" s="47">
        <f t="shared" si="8"/>
        <v>0</v>
      </c>
      <c r="Z35" s="131">
        <f t="shared" si="6"/>
        <v>267000</v>
      </c>
    </row>
    <row r="36" spans="1:26">
      <c r="A36" s="41" t="s">
        <v>285</v>
      </c>
      <c r="B36" s="42" t="s">
        <v>69</v>
      </c>
      <c r="C36" s="127">
        <v>22455838</v>
      </c>
      <c r="D36" s="50">
        <f t="shared" si="33"/>
        <v>20730150</v>
      </c>
      <c r="E36" s="65"/>
      <c r="F36" s="66"/>
      <c r="G36" s="62"/>
      <c r="H36" s="62"/>
      <c r="I36" s="62"/>
      <c r="J36" s="62"/>
      <c r="K36" s="62"/>
      <c r="L36" s="45">
        <f t="shared" si="1"/>
        <v>0</v>
      </c>
      <c r="M36" s="138">
        <f>17000000+3600000</f>
        <v>20600000</v>
      </c>
      <c r="N36" s="62">
        <v>130150</v>
      </c>
      <c r="O36" s="46">
        <f t="shared" si="7"/>
        <v>20730150</v>
      </c>
      <c r="P36" s="66"/>
      <c r="Q36" s="62">
        <v>0</v>
      </c>
      <c r="R36" s="62"/>
      <c r="S36" s="62"/>
      <c r="T36" s="120">
        <f t="shared" si="4"/>
        <v>0</v>
      </c>
      <c r="U36" s="62"/>
      <c r="V36" s="62"/>
      <c r="W36" s="62"/>
      <c r="X36" s="62"/>
      <c r="Y36" s="47">
        <f t="shared" si="8"/>
        <v>0</v>
      </c>
      <c r="Z36" s="131">
        <f t="shared" si="6"/>
        <v>-1725688</v>
      </c>
    </row>
    <row r="37" spans="1:26">
      <c r="A37" s="41" t="s">
        <v>286</v>
      </c>
      <c r="B37" s="42" t="s">
        <v>72</v>
      </c>
      <c r="C37" s="127"/>
      <c r="D37" s="50">
        <f t="shared" si="33"/>
        <v>0</v>
      </c>
      <c r="E37" s="65"/>
      <c r="F37" s="66"/>
      <c r="G37" s="62"/>
      <c r="H37" s="62"/>
      <c r="I37" s="62"/>
      <c r="J37" s="62"/>
      <c r="K37" s="62"/>
      <c r="L37" s="45">
        <f t="shared" si="1"/>
        <v>0</v>
      </c>
      <c r="M37" s="66"/>
      <c r="N37" s="62"/>
      <c r="O37" s="46">
        <f t="shared" si="7"/>
        <v>0</v>
      </c>
      <c r="P37" s="66"/>
      <c r="Q37" s="62">
        <v>0</v>
      </c>
      <c r="R37" s="62"/>
      <c r="S37" s="62"/>
      <c r="T37" s="120">
        <f t="shared" si="4"/>
        <v>0</v>
      </c>
      <c r="U37" s="62"/>
      <c r="V37" s="62"/>
      <c r="W37" s="62"/>
      <c r="X37" s="62"/>
      <c r="Y37" s="47">
        <f t="shared" si="8"/>
        <v>0</v>
      </c>
      <c r="Z37" s="131">
        <f t="shared" si="6"/>
        <v>0</v>
      </c>
    </row>
    <row r="38" spans="1:26" ht="38.25">
      <c r="A38" s="41" t="s">
        <v>152</v>
      </c>
      <c r="B38" s="42" t="s">
        <v>73</v>
      </c>
      <c r="C38" s="127">
        <v>1617921</v>
      </c>
      <c r="D38" s="50">
        <f t="shared" si="33"/>
        <v>842000</v>
      </c>
      <c r="E38" s="65">
        <v>120000</v>
      </c>
      <c r="F38" s="138">
        <v>700000</v>
      </c>
      <c r="G38" s="62"/>
      <c r="H38" s="62"/>
      <c r="I38" s="62"/>
      <c r="J38" s="62">
        <v>22000</v>
      </c>
      <c r="K38" s="62"/>
      <c r="L38" s="45">
        <f t="shared" si="1"/>
        <v>722000</v>
      </c>
      <c r="M38" s="66"/>
      <c r="N38" s="62"/>
      <c r="O38" s="46">
        <f t="shared" si="7"/>
        <v>0</v>
      </c>
      <c r="P38" s="66"/>
      <c r="Q38" s="62"/>
      <c r="R38" s="62"/>
      <c r="S38" s="62"/>
      <c r="T38" s="120">
        <f t="shared" si="4"/>
        <v>0</v>
      </c>
      <c r="U38" s="62"/>
      <c r="V38" s="62"/>
      <c r="W38" s="62"/>
      <c r="X38" s="62"/>
      <c r="Y38" s="47">
        <f t="shared" si="8"/>
        <v>0</v>
      </c>
      <c r="Z38" s="131">
        <f t="shared" si="6"/>
        <v>-775921</v>
      </c>
    </row>
    <row r="39" spans="1:26" ht="25.5">
      <c r="A39" s="41" t="s">
        <v>74</v>
      </c>
      <c r="B39" s="42" t="s">
        <v>75</v>
      </c>
      <c r="C39" s="129">
        <v>6480</v>
      </c>
      <c r="D39" s="50">
        <f t="shared" si="33"/>
        <v>0</v>
      </c>
      <c r="E39" s="119"/>
      <c r="F39" s="66"/>
      <c r="G39" s="130"/>
      <c r="H39" s="130"/>
      <c r="I39" s="130"/>
      <c r="J39" s="130"/>
      <c r="K39" s="130"/>
      <c r="L39" s="45"/>
      <c r="M39" s="66"/>
      <c r="N39" s="130"/>
      <c r="O39" s="46"/>
      <c r="P39" s="66"/>
      <c r="Q39" s="130"/>
      <c r="R39" s="130"/>
      <c r="S39" s="130"/>
      <c r="T39" s="120"/>
      <c r="U39" s="62"/>
      <c r="V39" s="62"/>
      <c r="W39" s="62"/>
      <c r="X39" s="62"/>
      <c r="Y39" s="47">
        <f t="shared" si="8"/>
        <v>0</v>
      </c>
      <c r="Z39" s="131">
        <f t="shared" si="6"/>
        <v>-6480</v>
      </c>
    </row>
    <row r="40" spans="1:26" ht="25.5">
      <c r="A40" s="41" t="s">
        <v>287</v>
      </c>
      <c r="B40" s="42" t="s">
        <v>77</v>
      </c>
      <c r="C40" s="61">
        <f>SUM(C41:C42)</f>
        <v>6074911</v>
      </c>
      <c r="D40" s="43">
        <f>SUM(D41:D43)</f>
        <v>3494000</v>
      </c>
      <c r="E40" s="61">
        <f>SUM(E41:E43)</f>
        <v>1100000</v>
      </c>
      <c r="F40" s="61">
        <f t="shared" ref="F40:K40" si="35">SUM(F41:F43)</f>
        <v>0</v>
      </c>
      <c r="G40" s="61">
        <f t="shared" si="35"/>
        <v>0</v>
      </c>
      <c r="H40" s="61">
        <f t="shared" si="35"/>
        <v>0</v>
      </c>
      <c r="I40" s="61">
        <f t="shared" si="35"/>
        <v>0</v>
      </c>
      <c r="J40" s="61">
        <f t="shared" si="35"/>
        <v>0</v>
      </c>
      <c r="K40" s="61">
        <f t="shared" si="35"/>
        <v>0</v>
      </c>
      <c r="L40" s="45">
        <f t="shared" ref="L40:L69" si="36">SUM(F40:K40)</f>
        <v>0</v>
      </c>
      <c r="M40" s="61">
        <f t="shared" ref="M40:N40" si="37">SUM(M41:M43)</f>
        <v>0</v>
      </c>
      <c r="N40" s="61">
        <f t="shared" si="37"/>
        <v>0</v>
      </c>
      <c r="O40" s="46">
        <f t="shared" si="7"/>
        <v>0</v>
      </c>
      <c r="P40" s="61">
        <f>SUM(P41:P43)</f>
        <v>72000</v>
      </c>
      <c r="Q40" s="61">
        <f>SUM(Q41:Q43)</f>
        <v>0</v>
      </c>
      <c r="R40" s="61">
        <f>SUM(R41:R43)</f>
        <v>2232000</v>
      </c>
      <c r="S40" s="61">
        <f>SUM(S41:S43)</f>
        <v>90000</v>
      </c>
      <c r="T40" s="120">
        <f t="shared" ref="T40:T69" si="38">SUM(P40:S40)</f>
        <v>2394000</v>
      </c>
      <c r="U40" s="63">
        <f t="shared" ref="U40" si="39">SUM(U41:U43)</f>
        <v>0</v>
      </c>
      <c r="V40" s="63"/>
      <c r="W40" s="63"/>
      <c r="X40" s="63"/>
      <c r="Y40" s="47">
        <f t="shared" si="8"/>
        <v>0</v>
      </c>
      <c r="Z40" s="131">
        <f t="shared" si="6"/>
        <v>-2580911</v>
      </c>
    </row>
    <row r="41" spans="1:26">
      <c r="A41" s="55" t="s">
        <v>78</v>
      </c>
      <c r="B41" s="56"/>
      <c r="C41" s="1364">
        <v>6074911</v>
      </c>
      <c r="D41" s="50">
        <f t="shared" ref="D41:D43" si="40">SUM(E41,,M41,U41,P41,Q41,R41,S41,J41,F41,N41,I41,G41,K41,H41,V41)</f>
        <v>0</v>
      </c>
      <c r="E41" s="57"/>
      <c r="F41" s="58"/>
      <c r="G41" s="59"/>
      <c r="H41" s="59"/>
      <c r="I41" s="59"/>
      <c r="J41" s="59"/>
      <c r="K41" s="59"/>
      <c r="L41" s="45">
        <f t="shared" si="36"/>
        <v>0</v>
      </c>
      <c r="M41" s="58"/>
      <c r="N41" s="59"/>
      <c r="O41" s="46">
        <f t="shared" si="7"/>
        <v>0</v>
      </c>
      <c r="P41" s="58"/>
      <c r="Q41" s="59"/>
      <c r="R41" s="59"/>
      <c r="S41" s="59"/>
      <c r="T41" s="120">
        <f t="shared" si="38"/>
        <v>0</v>
      </c>
      <c r="U41" s="59"/>
      <c r="V41" s="59"/>
      <c r="W41" s="59"/>
      <c r="X41" s="53">
        <f t="shared" ref="X41:X43" si="41">SUM(U41:V41)</f>
        <v>0</v>
      </c>
      <c r="Y41" s="47">
        <f t="shared" si="8"/>
        <v>0</v>
      </c>
      <c r="Z41" s="131">
        <f t="shared" si="6"/>
        <v>-6074911</v>
      </c>
    </row>
    <row r="42" spans="1:26" ht="25.5">
      <c r="A42" s="55" t="s">
        <v>79</v>
      </c>
      <c r="B42" s="56"/>
      <c r="C42" s="1365"/>
      <c r="D42" s="50">
        <f t="shared" si="40"/>
        <v>0</v>
      </c>
      <c r="E42" s="57"/>
      <c r="F42" s="58"/>
      <c r="G42" s="59"/>
      <c r="H42" s="59"/>
      <c r="I42" s="59"/>
      <c r="J42" s="59"/>
      <c r="K42" s="59"/>
      <c r="L42" s="45">
        <f t="shared" si="36"/>
        <v>0</v>
      </c>
      <c r="M42" s="58"/>
      <c r="N42" s="59"/>
      <c r="O42" s="46">
        <f t="shared" si="7"/>
        <v>0</v>
      </c>
      <c r="P42" s="58"/>
      <c r="Q42" s="59"/>
      <c r="R42" s="59"/>
      <c r="S42" s="59"/>
      <c r="T42" s="120">
        <f t="shared" si="38"/>
        <v>0</v>
      </c>
      <c r="U42" s="59"/>
      <c r="V42" s="59"/>
      <c r="W42" s="59"/>
      <c r="X42" s="53">
        <f t="shared" si="41"/>
        <v>0</v>
      </c>
      <c r="Y42" s="47">
        <f t="shared" si="8"/>
        <v>0</v>
      </c>
      <c r="Z42" s="131">
        <f t="shared" si="6"/>
        <v>0</v>
      </c>
    </row>
    <row r="43" spans="1:26" ht="25.5">
      <c r="A43" s="55" t="s">
        <v>288</v>
      </c>
      <c r="B43" s="56"/>
      <c r="C43" s="1366"/>
      <c r="D43" s="50">
        <f t="shared" si="40"/>
        <v>3494000</v>
      </c>
      <c r="E43" s="57">
        <v>1100000</v>
      </c>
      <c r="F43" s="58"/>
      <c r="G43" s="59"/>
      <c r="H43" s="59"/>
      <c r="I43" s="59"/>
      <c r="J43" s="59"/>
      <c r="K43" s="59"/>
      <c r="L43" s="45">
        <f t="shared" si="36"/>
        <v>0</v>
      </c>
      <c r="M43" s="58"/>
      <c r="N43" s="59"/>
      <c r="O43" s="46">
        <f t="shared" si="7"/>
        <v>0</v>
      </c>
      <c r="P43" s="58">
        <v>72000</v>
      </c>
      <c r="Q43" s="59"/>
      <c r="R43" s="59">
        <v>2232000</v>
      </c>
      <c r="S43" s="137">
        <v>90000</v>
      </c>
      <c r="T43" s="120">
        <f t="shared" si="38"/>
        <v>2394000</v>
      </c>
      <c r="U43" s="59"/>
      <c r="V43" s="59"/>
      <c r="W43" s="59"/>
      <c r="X43" s="53">
        <f t="shared" si="41"/>
        <v>0</v>
      </c>
      <c r="Y43" s="47">
        <f t="shared" si="8"/>
        <v>0</v>
      </c>
      <c r="Z43" s="131">
        <f t="shared" si="6"/>
        <v>3494000</v>
      </c>
    </row>
    <row r="44" spans="1:26">
      <c r="A44" s="41" t="s">
        <v>289</v>
      </c>
      <c r="B44" s="42" t="s">
        <v>81</v>
      </c>
      <c r="C44" s="44">
        <f>SUM(C45:C49)</f>
        <v>11647858</v>
      </c>
      <c r="D44" s="43">
        <f>SUM(D45:D54)</f>
        <v>7772000</v>
      </c>
      <c r="E44" s="44">
        <f t="shared" ref="E44:H44" si="42">SUM(E45:E50)</f>
        <v>1640000</v>
      </c>
      <c r="F44" s="61">
        <f t="shared" si="42"/>
        <v>550000</v>
      </c>
      <c r="G44" s="61">
        <f t="shared" si="42"/>
        <v>300000</v>
      </c>
      <c r="H44" s="61">
        <f t="shared" si="42"/>
        <v>0</v>
      </c>
      <c r="I44" s="63">
        <f>SUM(I45:I50)</f>
        <v>20000</v>
      </c>
      <c r="J44" s="63">
        <f t="shared" ref="J44:K44" si="43">SUM(J45:J50)</f>
        <v>50000</v>
      </c>
      <c r="K44" s="63">
        <f t="shared" si="43"/>
        <v>0</v>
      </c>
      <c r="L44" s="45">
        <f t="shared" si="36"/>
        <v>920000</v>
      </c>
      <c r="M44" s="61">
        <f>SUM(M45:M50)</f>
        <v>0</v>
      </c>
      <c r="N44" s="62"/>
      <c r="O44" s="46">
        <f t="shared" si="7"/>
        <v>0</v>
      </c>
      <c r="P44" s="61">
        <f t="shared" ref="P44" si="44">SUM(P45:P50)</f>
        <v>12000</v>
      </c>
      <c r="Q44" s="63">
        <f>SUM(Q45:Q50)</f>
        <v>0</v>
      </c>
      <c r="R44" s="63">
        <f t="shared" ref="R44:S44" si="45">SUM(R45:R50)</f>
        <v>0</v>
      </c>
      <c r="S44" s="63">
        <f t="shared" si="45"/>
        <v>0</v>
      </c>
      <c r="T44" s="120">
        <f t="shared" si="38"/>
        <v>12000</v>
      </c>
      <c r="U44" s="63">
        <f>SUM(U45:U54)</f>
        <v>2300000</v>
      </c>
      <c r="V44" s="63">
        <f t="shared" ref="V44:X44" si="46">SUM(V45:V54)</f>
        <v>2900000</v>
      </c>
      <c r="W44" s="63">
        <f t="shared" si="46"/>
        <v>0</v>
      </c>
      <c r="X44" s="63">
        <f t="shared" si="46"/>
        <v>5200000</v>
      </c>
      <c r="Y44" s="47">
        <f t="shared" si="8"/>
        <v>0</v>
      </c>
      <c r="Z44" s="131">
        <f t="shared" si="6"/>
        <v>-3875858</v>
      </c>
    </row>
    <row r="45" spans="1:26">
      <c r="A45" s="55" t="s">
        <v>290</v>
      </c>
      <c r="B45" s="73"/>
      <c r="C45" s="1367">
        <v>11647858</v>
      </c>
      <c r="D45" s="50">
        <f t="shared" ref="D45:D54" si="47">SUM(E45,,M45,U45,P45,Q45,R45,S45,J45,F45,N45,I45,G45,K45,H45,V45)</f>
        <v>0</v>
      </c>
      <c r="E45" s="57"/>
      <c r="F45" s="58"/>
      <c r="G45" s="59"/>
      <c r="H45" s="59"/>
      <c r="I45" s="59"/>
      <c r="J45" s="59"/>
      <c r="K45" s="59"/>
      <c r="L45" s="45">
        <f t="shared" si="36"/>
        <v>0</v>
      </c>
      <c r="M45" s="58"/>
      <c r="N45" s="59"/>
      <c r="O45" s="46">
        <f t="shared" si="7"/>
        <v>0</v>
      </c>
      <c r="P45" s="58"/>
      <c r="Q45" s="59"/>
      <c r="R45" s="59"/>
      <c r="S45" s="59"/>
      <c r="T45" s="120">
        <f t="shared" si="38"/>
        <v>0</v>
      </c>
      <c r="U45" s="59"/>
      <c r="V45" s="59"/>
      <c r="W45" s="59"/>
      <c r="X45" s="53">
        <f t="shared" ref="X45:X54" si="48">SUM(U45:V45)</f>
        <v>0</v>
      </c>
      <c r="Y45" s="47">
        <f t="shared" si="8"/>
        <v>0</v>
      </c>
      <c r="Z45" s="131">
        <f t="shared" si="6"/>
        <v>-11647858</v>
      </c>
    </row>
    <row r="46" spans="1:26">
      <c r="A46" s="55" t="s">
        <v>291</v>
      </c>
      <c r="B46" s="73"/>
      <c r="C46" s="1368"/>
      <c r="D46" s="50">
        <f t="shared" si="47"/>
        <v>1200000</v>
      </c>
      <c r="E46" s="57">
        <v>1200000</v>
      </c>
      <c r="F46" s="58"/>
      <c r="G46" s="59"/>
      <c r="H46" s="59"/>
      <c r="I46" s="59"/>
      <c r="J46" s="59"/>
      <c r="K46" s="59"/>
      <c r="L46" s="45">
        <f t="shared" si="36"/>
        <v>0</v>
      </c>
      <c r="M46" s="58"/>
      <c r="N46" s="59"/>
      <c r="O46" s="46">
        <f t="shared" si="7"/>
        <v>0</v>
      </c>
      <c r="P46" s="58"/>
      <c r="Q46" s="59"/>
      <c r="R46" s="59"/>
      <c r="S46" s="59"/>
      <c r="T46" s="120">
        <f t="shared" si="38"/>
        <v>0</v>
      </c>
      <c r="U46" s="59"/>
      <c r="V46" s="59"/>
      <c r="W46" s="59"/>
      <c r="X46" s="53">
        <f t="shared" si="48"/>
        <v>0</v>
      </c>
      <c r="Y46" s="47">
        <f t="shared" si="8"/>
        <v>0</v>
      </c>
      <c r="Z46" s="131">
        <f t="shared" si="6"/>
        <v>1200000</v>
      </c>
    </row>
    <row r="47" spans="1:26" ht="25.5">
      <c r="A47" s="55" t="s">
        <v>292</v>
      </c>
      <c r="B47" s="73"/>
      <c r="C47" s="1368"/>
      <c r="D47" s="50">
        <f t="shared" si="47"/>
        <v>0</v>
      </c>
      <c r="E47" s="57"/>
      <c r="F47" s="58"/>
      <c r="G47" s="59"/>
      <c r="H47" s="59"/>
      <c r="I47" s="59"/>
      <c r="J47" s="59"/>
      <c r="K47" s="59"/>
      <c r="L47" s="45">
        <f t="shared" si="36"/>
        <v>0</v>
      </c>
      <c r="M47" s="58"/>
      <c r="N47" s="59"/>
      <c r="O47" s="46">
        <f t="shared" si="7"/>
        <v>0</v>
      </c>
      <c r="P47" s="58"/>
      <c r="Q47" s="59"/>
      <c r="R47" s="59"/>
      <c r="S47" s="59"/>
      <c r="T47" s="120">
        <f t="shared" si="38"/>
        <v>0</v>
      </c>
      <c r="U47" s="59"/>
      <c r="V47" s="59"/>
      <c r="W47" s="59"/>
      <c r="X47" s="53">
        <f t="shared" si="48"/>
        <v>0</v>
      </c>
      <c r="Y47" s="47">
        <f t="shared" si="8"/>
        <v>0</v>
      </c>
      <c r="Z47" s="131">
        <f t="shared" si="6"/>
        <v>0</v>
      </c>
    </row>
    <row r="48" spans="1:26">
      <c r="A48" s="55" t="s">
        <v>293</v>
      </c>
      <c r="B48" s="73"/>
      <c r="C48" s="1368"/>
      <c r="D48" s="50">
        <f t="shared" si="47"/>
        <v>0</v>
      </c>
      <c r="E48" s="57"/>
      <c r="F48" s="58"/>
      <c r="G48" s="59"/>
      <c r="H48" s="59"/>
      <c r="I48" s="59"/>
      <c r="J48" s="59"/>
      <c r="K48" s="59"/>
      <c r="L48" s="45">
        <f t="shared" si="36"/>
        <v>0</v>
      </c>
      <c r="M48" s="58"/>
      <c r="N48" s="59"/>
      <c r="O48" s="46">
        <f t="shared" si="7"/>
        <v>0</v>
      </c>
      <c r="P48" s="58"/>
      <c r="Q48" s="59"/>
      <c r="R48" s="59"/>
      <c r="S48" s="59"/>
      <c r="T48" s="120">
        <f t="shared" si="38"/>
        <v>0</v>
      </c>
      <c r="U48" s="59"/>
      <c r="V48" s="59"/>
      <c r="W48" s="59"/>
      <c r="X48" s="53">
        <f t="shared" si="48"/>
        <v>0</v>
      </c>
      <c r="Y48" s="47">
        <f t="shared" si="8"/>
        <v>0</v>
      </c>
      <c r="Z48" s="131">
        <f t="shared" si="6"/>
        <v>0</v>
      </c>
    </row>
    <row r="49" spans="1:26" ht="25.5">
      <c r="A49" s="55" t="s">
        <v>294</v>
      </c>
      <c r="B49" s="73"/>
      <c r="C49" s="1368"/>
      <c r="D49" s="50">
        <f t="shared" si="47"/>
        <v>0</v>
      </c>
      <c r="E49" s="57"/>
      <c r="F49" s="58"/>
      <c r="G49" s="59"/>
      <c r="H49" s="59"/>
      <c r="I49" s="59"/>
      <c r="J49" s="59"/>
      <c r="K49" s="59"/>
      <c r="L49" s="45">
        <f t="shared" si="36"/>
        <v>0</v>
      </c>
      <c r="M49" s="58"/>
      <c r="N49" s="59"/>
      <c r="O49" s="46">
        <f t="shared" si="7"/>
        <v>0</v>
      </c>
      <c r="P49" s="58"/>
      <c r="Q49" s="59"/>
      <c r="R49" s="59"/>
      <c r="S49" s="59"/>
      <c r="T49" s="120">
        <f t="shared" si="38"/>
        <v>0</v>
      </c>
      <c r="U49" s="59"/>
      <c r="V49" s="59"/>
      <c r="W49" s="59"/>
      <c r="X49" s="53">
        <f t="shared" si="48"/>
        <v>0</v>
      </c>
      <c r="Y49" s="47">
        <f t="shared" si="8"/>
        <v>0</v>
      </c>
      <c r="Z49" s="131">
        <f t="shared" si="6"/>
        <v>0</v>
      </c>
    </row>
    <row r="50" spans="1:26" ht="25.5">
      <c r="A50" s="55" t="s">
        <v>295</v>
      </c>
      <c r="B50" s="73"/>
      <c r="C50" s="1369"/>
      <c r="D50" s="50">
        <f t="shared" si="47"/>
        <v>3672000</v>
      </c>
      <c r="E50" s="57">
        <v>440000</v>
      </c>
      <c r="F50" s="139">
        <v>550000</v>
      </c>
      <c r="G50" s="59">
        <v>300000</v>
      </c>
      <c r="H50" s="59"/>
      <c r="I50" s="59">
        <v>20000</v>
      </c>
      <c r="J50" s="59">
        <v>50000</v>
      </c>
      <c r="K50" s="59"/>
      <c r="L50" s="45">
        <f t="shared" si="36"/>
        <v>920000</v>
      </c>
      <c r="M50" s="58"/>
      <c r="N50" s="59"/>
      <c r="O50" s="46">
        <f t="shared" si="7"/>
        <v>0</v>
      </c>
      <c r="P50" s="58">
        <v>12000</v>
      </c>
      <c r="Q50" s="59"/>
      <c r="R50" s="59"/>
      <c r="S50" s="59"/>
      <c r="T50" s="120">
        <f t="shared" si="38"/>
        <v>12000</v>
      </c>
      <c r="U50" s="59">
        <v>2300000</v>
      </c>
      <c r="V50" s="59"/>
      <c r="W50" s="59"/>
      <c r="X50" s="53">
        <f t="shared" si="48"/>
        <v>2300000</v>
      </c>
      <c r="Y50" s="47">
        <f t="shared" si="8"/>
        <v>0</v>
      </c>
      <c r="Z50" s="131">
        <f t="shared" si="6"/>
        <v>3672000</v>
      </c>
    </row>
    <row r="51" spans="1:26">
      <c r="A51" s="133" t="s">
        <v>476</v>
      </c>
      <c r="B51" s="73"/>
      <c r="C51" s="132"/>
      <c r="D51" s="50">
        <f t="shared" si="47"/>
        <v>1000000</v>
      </c>
      <c r="E51" s="57"/>
      <c r="F51" s="58"/>
      <c r="G51" s="59"/>
      <c r="H51" s="59"/>
      <c r="I51" s="59"/>
      <c r="J51" s="59"/>
      <c r="K51" s="59"/>
      <c r="L51" s="45">
        <f t="shared" si="36"/>
        <v>0</v>
      </c>
      <c r="M51" s="58"/>
      <c r="N51" s="59"/>
      <c r="O51" s="46"/>
      <c r="P51" s="58"/>
      <c r="Q51" s="59"/>
      <c r="R51" s="59"/>
      <c r="S51" s="59"/>
      <c r="T51" s="120"/>
      <c r="U51" s="59"/>
      <c r="V51" s="135">
        <v>1000000</v>
      </c>
      <c r="W51" s="59"/>
      <c r="X51" s="53">
        <f t="shared" si="48"/>
        <v>1000000</v>
      </c>
      <c r="Y51" s="47">
        <f t="shared" si="8"/>
        <v>0</v>
      </c>
      <c r="Z51" s="131"/>
    </row>
    <row r="52" spans="1:26" ht="24.75">
      <c r="A52" s="134" t="s">
        <v>477</v>
      </c>
      <c r="B52" s="73"/>
      <c r="C52" s="132"/>
      <c r="D52" s="50">
        <f t="shared" si="47"/>
        <v>1000000</v>
      </c>
      <c r="E52" s="57"/>
      <c r="F52" s="58"/>
      <c r="G52" s="59"/>
      <c r="H52" s="59"/>
      <c r="I52" s="59"/>
      <c r="J52" s="59"/>
      <c r="K52" s="59"/>
      <c r="L52" s="45">
        <f t="shared" si="36"/>
        <v>0</v>
      </c>
      <c r="M52" s="58"/>
      <c r="N52" s="59"/>
      <c r="O52" s="46"/>
      <c r="P52" s="58"/>
      <c r="Q52" s="59"/>
      <c r="R52" s="59"/>
      <c r="S52" s="59"/>
      <c r="T52" s="120"/>
      <c r="U52" s="59"/>
      <c r="V52" s="135">
        <v>1000000</v>
      </c>
      <c r="W52" s="59"/>
      <c r="X52" s="53">
        <f t="shared" si="48"/>
        <v>1000000</v>
      </c>
      <c r="Y52" s="47">
        <f t="shared" si="8"/>
        <v>0</v>
      </c>
      <c r="Z52" s="131"/>
    </row>
    <row r="53" spans="1:26">
      <c r="A53" s="133" t="s">
        <v>478</v>
      </c>
      <c r="B53" s="73"/>
      <c r="C53" s="132"/>
      <c r="D53" s="50">
        <f t="shared" si="47"/>
        <v>700000</v>
      </c>
      <c r="E53" s="57"/>
      <c r="F53" s="58"/>
      <c r="G53" s="59"/>
      <c r="H53" s="59"/>
      <c r="I53" s="59"/>
      <c r="J53" s="59"/>
      <c r="K53" s="59"/>
      <c r="L53" s="45">
        <f t="shared" si="36"/>
        <v>0</v>
      </c>
      <c r="M53" s="58"/>
      <c r="N53" s="59"/>
      <c r="O53" s="46"/>
      <c r="P53" s="58"/>
      <c r="Q53" s="59"/>
      <c r="R53" s="59"/>
      <c r="S53" s="59"/>
      <c r="T53" s="120"/>
      <c r="U53" s="59"/>
      <c r="V53" s="135">
        <v>700000</v>
      </c>
      <c r="W53" s="59"/>
      <c r="X53" s="53">
        <f t="shared" si="48"/>
        <v>700000</v>
      </c>
      <c r="Y53" s="47">
        <f t="shared" si="8"/>
        <v>0</v>
      </c>
      <c r="Z53" s="131"/>
    </row>
    <row r="54" spans="1:26" ht="26.25">
      <c r="A54" s="133" t="s">
        <v>479</v>
      </c>
      <c r="B54" s="73"/>
      <c r="C54" s="132"/>
      <c r="D54" s="50">
        <f t="shared" si="47"/>
        <v>200000</v>
      </c>
      <c r="E54" s="57"/>
      <c r="F54" s="58"/>
      <c r="G54" s="59"/>
      <c r="H54" s="59"/>
      <c r="I54" s="59"/>
      <c r="J54" s="59"/>
      <c r="K54" s="59"/>
      <c r="L54" s="45">
        <f t="shared" si="36"/>
        <v>0</v>
      </c>
      <c r="M54" s="58"/>
      <c r="N54" s="59"/>
      <c r="O54" s="46"/>
      <c r="P54" s="58"/>
      <c r="Q54" s="59"/>
      <c r="R54" s="59"/>
      <c r="S54" s="59"/>
      <c r="T54" s="120"/>
      <c r="U54" s="59"/>
      <c r="V54" s="135">
        <v>200000</v>
      </c>
      <c r="W54" s="59"/>
      <c r="X54" s="53">
        <f t="shared" si="48"/>
        <v>200000</v>
      </c>
      <c r="Y54" s="47">
        <f t="shared" si="8"/>
        <v>0</v>
      </c>
      <c r="Z54" s="131"/>
    </row>
    <row r="55" spans="1:26">
      <c r="A55" s="67" t="s">
        <v>87</v>
      </c>
      <c r="B55" s="68" t="s">
        <v>88</v>
      </c>
      <c r="C55" s="70">
        <f t="shared" ref="C55:K55" si="49">SUM(C32,C36:C40,C44)</f>
        <v>47395142</v>
      </c>
      <c r="D55" s="69">
        <f t="shared" si="49"/>
        <v>37710150</v>
      </c>
      <c r="E55" s="70">
        <f t="shared" si="49"/>
        <v>3080000</v>
      </c>
      <c r="F55" s="71">
        <f t="shared" si="49"/>
        <v>2580000</v>
      </c>
      <c r="G55" s="72">
        <f t="shared" si="49"/>
        <v>300000</v>
      </c>
      <c r="H55" s="72">
        <f t="shared" si="49"/>
        <v>2200000</v>
      </c>
      <c r="I55" s="72">
        <f t="shared" si="49"/>
        <v>82000</v>
      </c>
      <c r="J55" s="72">
        <f t="shared" si="49"/>
        <v>72000</v>
      </c>
      <c r="K55" s="72">
        <f t="shared" si="49"/>
        <v>0</v>
      </c>
      <c r="L55" s="45">
        <f t="shared" si="36"/>
        <v>5234000</v>
      </c>
      <c r="M55" s="71">
        <f>SUM(M32,M36:M40,M44)</f>
        <v>20600000</v>
      </c>
      <c r="N55" s="72">
        <f>SUM(N32,N36:N40,N44)</f>
        <v>130150</v>
      </c>
      <c r="O55" s="46">
        <f t="shared" si="7"/>
        <v>20730150</v>
      </c>
      <c r="P55" s="71">
        <f>SUM(P32,P36:P40,P44)</f>
        <v>84000</v>
      </c>
      <c r="Q55" s="72">
        <f>SUM(Q32,Q36:Q40,Q44)</f>
        <v>0</v>
      </c>
      <c r="R55" s="72">
        <f>SUM(R32,R36:R40,R44)</f>
        <v>2232000</v>
      </c>
      <c r="S55" s="72">
        <f>SUM(S32,S36:S40,S44)</f>
        <v>90000</v>
      </c>
      <c r="T55" s="120">
        <f t="shared" si="38"/>
        <v>2406000</v>
      </c>
      <c r="U55" s="72">
        <f>SUM(U32,U36:U40,U44)</f>
        <v>3360000</v>
      </c>
      <c r="V55" s="72">
        <f>SUM(V32,V36:V40,V44)</f>
        <v>2900000</v>
      </c>
      <c r="W55" s="72"/>
      <c r="X55" s="72">
        <f>SUM(X32,X36:X40,X44)</f>
        <v>6260000</v>
      </c>
      <c r="Y55" s="47">
        <f t="shared" si="8"/>
        <v>0</v>
      </c>
      <c r="Z55" s="131">
        <f t="shared" ref="Z55:Z69" si="50">D55-C55</f>
        <v>-9684992</v>
      </c>
    </row>
    <row r="56" spans="1:26">
      <c r="A56" s="74" t="s">
        <v>296</v>
      </c>
      <c r="B56" s="56" t="s">
        <v>90</v>
      </c>
      <c r="C56" s="128">
        <v>144840</v>
      </c>
      <c r="D56" s="50">
        <f t="shared" ref="D56:D57" si="51">SUM(E56,,M56,U56,P56,Q56,R56,S56,J56,F56,N56,I56,G56,K56,H56,V56)</f>
        <v>85000</v>
      </c>
      <c r="E56" s="57">
        <v>50000</v>
      </c>
      <c r="F56" s="58"/>
      <c r="G56" s="59"/>
      <c r="H56" s="59"/>
      <c r="I56" s="59"/>
      <c r="J56" s="59"/>
      <c r="K56" s="59"/>
      <c r="L56" s="45">
        <f t="shared" si="36"/>
        <v>0</v>
      </c>
      <c r="M56" s="58"/>
      <c r="N56" s="59"/>
      <c r="O56" s="46">
        <f t="shared" si="7"/>
        <v>0</v>
      </c>
      <c r="P56" s="58">
        <v>35000</v>
      </c>
      <c r="Q56" s="59"/>
      <c r="R56" s="59"/>
      <c r="S56" s="59"/>
      <c r="T56" s="120">
        <f t="shared" si="38"/>
        <v>35000</v>
      </c>
      <c r="U56" s="59"/>
      <c r="V56" s="59"/>
      <c r="W56" s="59"/>
      <c r="X56" s="53">
        <f t="shared" ref="X56:X57" si="52">SUM(U56:V56)</f>
        <v>0</v>
      </c>
      <c r="Y56" s="47">
        <f t="shared" si="8"/>
        <v>0</v>
      </c>
      <c r="Z56" s="131">
        <f t="shared" si="50"/>
        <v>-59840</v>
      </c>
    </row>
    <row r="57" spans="1:26" ht="25.5">
      <c r="A57" s="74" t="s">
        <v>297</v>
      </c>
      <c r="B57" s="56" t="s">
        <v>92</v>
      </c>
      <c r="C57" s="128">
        <v>11900</v>
      </c>
      <c r="D57" s="50">
        <f t="shared" si="51"/>
        <v>2158000</v>
      </c>
      <c r="E57" s="57">
        <v>20000</v>
      </c>
      <c r="F57" s="58">
        <v>10000</v>
      </c>
      <c r="G57" s="59"/>
      <c r="H57" s="59"/>
      <c r="I57" s="59"/>
      <c r="J57" s="59"/>
      <c r="K57" s="59"/>
      <c r="L57" s="45">
        <f t="shared" si="36"/>
        <v>10000</v>
      </c>
      <c r="M57" s="58"/>
      <c r="N57" s="59"/>
      <c r="O57" s="46">
        <f t="shared" si="7"/>
        <v>0</v>
      </c>
      <c r="P57" s="58"/>
      <c r="Q57" s="59"/>
      <c r="R57" s="59"/>
      <c r="S57" s="59"/>
      <c r="T57" s="120">
        <f t="shared" si="38"/>
        <v>0</v>
      </c>
      <c r="U57" s="59">
        <v>2128000</v>
      </c>
      <c r="V57" s="59"/>
      <c r="W57" s="59"/>
      <c r="X57" s="53">
        <f t="shared" si="52"/>
        <v>2128000</v>
      </c>
      <c r="Y57" s="47">
        <f t="shared" si="8"/>
        <v>0</v>
      </c>
      <c r="Z57" s="131">
        <f t="shared" si="50"/>
        <v>2146100</v>
      </c>
    </row>
    <row r="58" spans="1:26" ht="25.5">
      <c r="A58" s="67" t="s">
        <v>93</v>
      </c>
      <c r="B58" s="68" t="s">
        <v>94</v>
      </c>
      <c r="C58" s="70">
        <f>SUM(C56:C57)</f>
        <v>156740</v>
      </c>
      <c r="D58" s="69">
        <f t="shared" ref="D58:E58" si="53">SUM(D56:D57)</f>
        <v>2243000</v>
      </c>
      <c r="E58" s="70">
        <f t="shared" si="53"/>
        <v>70000</v>
      </c>
      <c r="F58" s="71">
        <f>SUM(F56:F57)</f>
        <v>10000</v>
      </c>
      <c r="G58" s="72">
        <f>SUM(G56:G57)</f>
        <v>0</v>
      </c>
      <c r="H58" s="72"/>
      <c r="I58" s="72">
        <f>SUM(I56:I57)</f>
        <v>0</v>
      </c>
      <c r="J58" s="72">
        <f>SUM(J56:J57)</f>
        <v>0</v>
      </c>
      <c r="K58" s="72">
        <f>SUM(K56:K57)</f>
        <v>0</v>
      </c>
      <c r="L58" s="45">
        <f t="shared" si="36"/>
        <v>10000</v>
      </c>
      <c r="M58" s="71">
        <f>SUM(M56:M57)</f>
        <v>0</v>
      </c>
      <c r="N58" s="72">
        <f>SUM(N56:N57)</f>
        <v>0</v>
      </c>
      <c r="O58" s="46">
        <f t="shared" si="7"/>
        <v>0</v>
      </c>
      <c r="P58" s="71">
        <f>SUM(P56:P57)</f>
        <v>35000</v>
      </c>
      <c r="Q58" s="72">
        <f>SUM(Q56:Q57)</f>
        <v>0</v>
      </c>
      <c r="R58" s="72">
        <f>SUM(R56:R57)</f>
        <v>0</v>
      </c>
      <c r="S58" s="72">
        <f>SUM(S56:S57)</f>
        <v>0</v>
      </c>
      <c r="T58" s="120">
        <f t="shared" si="38"/>
        <v>35000</v>
      </c>
      <c r="U58" s="72">
        <f>SUM(U56:U57)</f>
        <v>2128000</v>
      </c>
      <c r="V58" s="72">
        <f t="shared" ref="V58:X58" si="54">SUM(V56:V57)</f>
        <v>0</v>
      </c>
      <c r="W58" s="72"/>
      <c r="X58" s="72">
        <f t="shared" si="54"/>
        <v>2128000</v>
      </c>
      <c r="Y58" s="47">
        <f t="shared" si="8"/>
        <v>0</v>
      </c>
      <c r="Z58" s="131">
        <f t="shared" si="50"/>
        <v>2086260</v>
      </c>
    </row>
    <row r="59" spans="1:26" ht="38.25">
      <c r="A59" s="41" t="s">
        <v>298</v>
      </c>
      <c r="B59" s="42" t="s">
        <v>96</v>
      </c>
      <c r="C59" s="44">
        <f>SUM(C60:C61)</f>
        <v>10868034</v>
      </c>
      <c r="D59" s="43">
        <f>SUM(D60:D61)</f>
        <v>9192395</v>
      </c>
      <c r="E59" s="44">
        <f>SUM(E60:E61)</f>
        <v>963090</v>
      </c>
      <c r="F59" s="44">
        <f t="shared" ref="F59:K59" si="55">SUM(F60:F61)</f>
        <v>831600</v>
      </c>
      <c r="G59" s="44">
        <f t="shared" si="55"/>
        <v>0</v>
      </c>
      <c r="H59" s="44">
        <f t="shared" si="55"/>
        <v>522000</v>
      </c>
      <c r="I59" s="44">
        <f t="shared" si="55"/>
        <v>25000</v>
      </c>
      <c r="J59" s="44">
        <f t="shared" si="55"/>
        <v>50000</v>
      </c>
      <c r="K59" s="44">
        <f t="shared" si="55"/>
        <v>0</v>
      </c>
      <c r="L59" s="45">
        <f t="shared" si="36"/>
        <v>1428600</v>
      </c>
      <c r="M59" s="61">
        <f>SUM(M60:M61)</f>
        <v>4590000</v>
      </c>
      <c r="N59" s="61">
        <f>SUM(N60:N61)</f>
        <v>35145</v>
      </c>
      <c r="O59" s="46">
        <f t="shared" si="7"/>
        <v>4625145</v>
      </c>
      <c r="P59" s="61">
        <f t="shared" ref="P59:Q59" si="56">SUM(P60:P61)</f>
        <v>12000</v>
      </c>
      <c r="Q59" s="63">
        <f t="shared" si="56"/>
        <v>0</v>
      </c>
      <c r="R59" s="62"/>
      <c r="S59" s="63">
        <f t="shared" ref="S59" si="57">SUM(S60:S61)</f>
        <v>0</v>
      </c>
      <c r="T59" s="120">
        <f t="shared" si="38"/>
        <v>12000</v>
      </c>
      <c r="U59" s="63">
        <f>SUM(U60:U61)</f>
        <v>1380560</v>
      </c>
      <c r="V59" s="63">
        <f t="shared" ref="V59:X59" si="58">SUM(V60:V61)</f>
        <v>783000</v>
      </c>
      <c r="W59" s="63"/>
      <c r="X59" s="63">
        <f t="shared" si="58"/>
        <v>2163560</v>
      </c>
      <c r="Y59" s="47">
        <f t="shared" si="8"/>
        <v>0</v>
      </c>
      <c r="Z59" s="131">
        <f t="shared" si="50"/>
        <v>-1675639</v>
      </c>
    </row>
    <row r="60" spans="1:26">
      <c r="A60" s="55" t="s">
        <v>299</v>
      </c>
      <c r="B60" s="56"/>
      <c r="C60" s="128"/>
      <c r="D60" s="50">
        <f t="shared" ref="D60:D63" si="59">SUM(E60,,M60,U60,P60,Q60,R60,S60,J60,F60,N60,I60,G60,K60,H60,V60)</f>
        <v>4590000</v>
      </c>
      <c r="E60" s="75"/>
      <c r="F60" s="58"/>
      <c r="G60" s="59"/>
      <c r="H60" s="59"/>
      <c r="I60" s="59"/>
      <c r="J60" s="59"/>
      <c r="K60" s="59"/>
      <c r="L60" s="45">
        <f t="shared" si="36"/>
        <v>0</v>
      </c>
      <c r="M60" s="58">
        <v>4590000</v>
      </c>
      <c r="N60" s="59"/>
      <c r="O60" s="46">
        <f t="shared" si="7"/>
        <v>4590000</v>
      </c>
      <c r="P60" s="58"/>
      <c r="Q60" s="59"/>
      <c r="R60" s="59"/>
      <c r="S60" s="59"/>
      <c r="T60" s="120">
        <f t="shared" si="38"/>
        <v>0</v>
      </c>
      <c r="U60" s="59"/>
      <c r="V60" s="59"/>
      <c r="W60" s="59"/>
      <c r="X60" s="53">
        <f t="shared" ref="X60:X61" si="60">SUM(U60:V60)</f>
        <v>0</v>
      </c>
      <c r="Y60" s="47">
        <f t="shared" si="8"/>
        <v>0</v>
      </c>
      <c r="Z60" s="131">
        <f t="shared" si="50"/>
        <v>4590000</v>
      </c>
    </row>
    <row r="61" spans="1:26">
      <c r="A61" s="55" t="s">
        <v>300</v>
      </c>
      <c r="B61" s="56"/>
      <c r="C61" s="128">
        <v>10868034</v>
      </c>
      <c r="D61" s="50">
        <f t="shared" si="59"/>
        <v>4602395</v>
      </c>
      <c r="E61" s="57">
        <v>963090</v>
      </c>
      <c r="F61" s="58">
        <v>831600</v>
      </c>
      <c r="G61" s="59"/>
      <c r="H61" s="59">
        <v>522000</v>
      </c>
      <c r="I61" s="59">
        <v>25000</v>
      </c>
      <c r="J61" s="59">
        <v>50000</v>
      </c>
      <c r="K61" s="59"/>
      <c r="L61" s="45">
        <f t="shared" si="36"/>
        <v>1428600</v>
      </c>
      <c r="M61" s="58"/>
      <c r="N61" s="59">
        <v>35145</v>
      </c>
      <c r="O61" s="46">
        <f t="shared" si="7"/>
        <v>35145</v>
      </c>
      <c r="P61" s="58">
        <v>12000</v>
      </c>
      <c r="Q61" s="59"/>
      <c r="R61" s="59"/>
      <c r="S61" s="59"/>
      <c r="T61" s="120">
        <f t="shared" si="38"/>
        <v>12000</v>
      </c>
      <c r="U61" s="59">
        <f>1076000+304560</f>
        <v>1380560</v>
      </c>
      <c r="V61" s="59">
        <f>V55*0.27</f>
        <v>783000</v>
      </c>
      <c r="W61" s="59"/>
      <c r="X61" s="53">
        <f t="shared" si="60"/>
        <v>2163560</v>
      </c>
      <c r="Y61" s="47">
        <f t="shared" si="8"/>
        <v>0</v>
      </c>
      <c r="Z61" s="131">
        <f t="shared" si="50"/>
        <v>-6265639</v>
      </c>
    </row>
    <row r="62" spans="1:26" ht="25.5">
      <c r="A62" s="41" t="s">
        <v>301</v>
      </c>
      <c r="B62" s="42" t="s">
        <v>98</v>
      </c>
      <c r="C62" s="127">
        <v>77000</v>
      </c>
      <c r="D62" s="50">
        <f t="shared" si="59"/>
        <v>0</v>
      </c>
      <c r="E62" s="65">
        <v>0</v>
      </c>
      <c r="F62" s="66">
        <v>0</v>
      </c>
      <c r="G62" s="62"/>
      <c r="H62" s="62"/>
      <c r="I62" s="62"/>
      <c r="J62" s="62"/>
      <c r="K62" s="62"/>
      <c r="L62" s="45">
        <f t="shared" si="36"/>
        <v>0</v>
      </c>
      <c r="M62" s="66"/>
      <c r="N62" s="62"/>
      <c r="O62" s="46">
        <f t="shared" si="7"/>
        <v>0</v>
      </c>
      <c r="P62" s="66"/>
      <c r="Q62" s="62"/>
      <c r="R62" s="62"/>
      <c r="S62" s="62"/>
      <c r="T62" s="120">
        <f t="shared" si="38"/>
        <v>0</v>
      </c>
      <c r="U62" s="62"/>
      <c r="V62" s="62"/>
      <c r="W62" s="62"/>
      <c r="X62" s="62"/>
      <c r="Y62" s="47">
        <f t="shared" si="8"/>
        <v>0</v>
      </c>
      <c r="Z62" s="131">
        <f t="shared" si="50"/>
        <v>-77000</v>
      </c>
    </row>
    <row r="63" spans="1:26">
      <c r="A63" s="41" t="s">
        <v>99</v>
      </c>
      <c r="B63" s="42" t="s">
        <v>100</v>
      </c>
      <c r="C63" s="127"/>
      <c r="D63" s="50">
        <f t="shared" si="59"/>
        <v>0</v>
      </c>
      <c r="E63" s="65">
        <v>0</v>
      </c>
      <c r="F63" s="66">
        <v>0</v>
      </c>
      <c r="G63" s="62"/>
      <c r="H63" s="62"/>
      <c r="I63" s="62"/>
      <c r="J63" s="62"/>
      <c r="K63" s="62"/>
      <c r="L63" s="45">
        <f t="shared" si="36"/>
        <v>0</v>
      </c>
      <c r="M63" s="66">
        <v>0</v>
      </c>
      <c r="N63" s="62"/>
      <c r="O63" s="46">
        <f t="shared" si="7"/>
        <v>0</v>
      </c>
      <c r="P63" s="66"/>
      <c r="Q63" s="62"/>
      <c r="R63" s="62"/>
      <c r="S63" s="62"/>
      <c r="T63" s="120">
        <f t="shared" si="38"/>
        <v>0</v>
      </c>
      <c r="U63" s="62"/>
      <c r="V63" s="62"/>
      <c r="W63" s="62"/>
      <c r="X63" s="62"/>
      <c r="Y63" s="47">
        <f t="shared" si="8"/>
        <v>0</v>
      </c>
      <c r="Z63" s="131">
        <f t="shared" si="50"/>
        <v>0</v>
      </c>
    </row>
    <row r="64" spans="1:26">
      <c r="A64" s="41" t="s">
        <v>302</v>
      </c>
      <c r="B64" s="42" t="s">
        <v>104</v>
      </c>
      <c r="C64" s="44">
        <f t="shared" ref="C64:E64" si="61">SUM(C65:C67)</f>
        <v>3578751</v>
      </c>
      <c r="D64" s="43">
        <f t="shared" si="61"/>
        <v>713945</v>
      </c>
      <c r="E64" s="44">
        <f t="shared" si="61"/>
        <v>413945</v>
      </c>
      <c r="F64" s="61">
        <f t="shared" ref="F64:K64" si="62">SUM(F65:F67)</f>
        <v>0</v>
      </c>
      <c r="G64" s="63">
        <f t="shared" si="62"/>
        <v>300000</v>
      </c>
      <c r="H64" s="63">
        <f t="shared" si="62"/>
        <v>0</v>
      </c>
      <c r="I64" s="63">
        <f t="shared" si="62"/>
        <v>0</v>
      </c>
      <c r="J64" s="63">
        <f t="shared" si="62"/>
        <v>0</v>
      </c>
      <c r="K64" s="63">
        <f t="shared" si="62"/>
        <v>0</v>
      </c>
      <c r="L64" s="45">
        <f t="shared" si="36"/>
        <v>300000</v>
      </c>
      <c r="M64" s="61">
        <f>SUM(M65:M67)</f>
        <v>0</v>
      </c>
      <c r="N64" s="63">
        <f>SUM(N65:N67)</f>
        <v>0</v>
      </c>
      <c r="O64" s="46">
        <f t="shared" si="7"/>
        <v>0</v>
      </c>
      <c r="P64" s="61">
        <f>SUM(P65:P67)</f>
        <v>0</v>
      </c>
      <c r="Q64" s="63">
        <f>SUM(Q65:Q67)</f>
        <v>0</v>
      </c>
      <c r="R64" s="63">
        <f>SUM(R65:R67)</f>
        <v>0</v>
      </c>
      <c r="S64" s="63">
        <f>SUM(S65:S67)</f>
        <v>0</v>
      </c>
      <c r="T64" s="120">
        <f t="shared" si="38"/>
        <v>0</v>
      </c>
      <c r="U64" s="63">
        <f>SUM(U65:U67)</f>
        <v>0</v>
      </c>
      <c r="V64" s="63"/>
      <c r="W64" s="63"/>
      <c r="X64" s="63"/>
      <c r="Y64" s="47">
        <f t="shared" si="8"/>
        <v>0</v>
      </c>
      <c r="Z64" s="131">
        <f t="shared" si="50"/>
        <v>-2864806</v>
      </c>
    </row>
    <row r="65" spans="1:26">
      <c r="A65" s="55" t="s">
        <v>303</v>
      </c>
      <c r="B65" s="56"/>
      <c r="C65" s="128"/>
      <c r="D65" s="50">
        <f t="shared" ref="D65:D67" si="63">SUM(E65,,M65,U65,P65,Q65,R65,S65,J65,F65,N65,I65,G65,K65,H65,V65)</f>
        <v>713945</v>
      </c>
      <c r="E65" s="57">
        <v>413945</v>
      </c>
      <c r="F65" s="58"/>
      <c r="G65" s="59">
        <v>300000</v>
      </c>
      <c r="H65" s="59"/>
      <c r="I65" s="59"/>
      <c r="J65" s="59"/>
      <c r="K65" s="59"/>
      <c r="L65" s="45">
        <f t="shared" si="36"/>
        <v>300000</v>
      </c>
      <c r="M65" s="58"/>
      <c r="N65" s="59"/>
      <c r="O65" s="46">
        <f t="shared" si="7"/>
        <v>0</v>
      </c>
      <c r="P65" s="58"/>
      <c r="Q65" s="59"/>
      <c r="R65" s="59"/>
      <c r="S65" s="59"/>
      <c r="T65" s="120">
        <f t="shared" si="38"/>
        <v>0</v>
      </c>
      <c r="U65" s="59"/>
      <c r="V65" s="59"/>
      <c r="W65" s="59"/>
      <c r="X65" s="59"/>
      <c r="Y65" s="47">
        <f t="shared" si="8"/>
        <v>0</v>
      </c>
      <c r="Z65" s="131">
        <f t="shared" si="50"/>
        <v>713945</v>
      </c>
    </row>
    <row r="66" spans="1:26" ht="25.5">
      <c r="A66" s="55" t="s">
        <v>304</v>
      </c>
      <c r="B66" s="56"/>
      <c r="C66" s="128"/>
      <c r="D66" s="50">
        <f t="shared" si="63"/>
        <v>0</v>
      </c>
      <c r="E66" s="57"/>
      <c r="F66" s="58"/>
      <c r="G66" s="59"/>
      <c r="H66" s="59"/>
      <c r="I66" s="59"/>
      <c r="J66" s="59"/>
      <c r="K66" s="59"/>
      <c r="L66" s="45">
        <f t="shared" si="36"/>
        <v>0</v>
      </c>
      <c r="M66" s="58"/>
      <c r="N66" s="59"/>
      <c r="O66" s="46">
        <f t="shared" si="7"/>
        <v>0</v>
      </c>
      <c r="P66" s="58"/>
      <c r="Q66" s="59"/>
      <c r="R66" s="59"/>
      <c r="S66" s="59"/>
      <c r="T66" s="120">
        <f t="shared" si="38"/>
        <v>0</v>
      </c>
      <c r="U66" s="59"/>
      <c r="V66" s="59"/>
      <c r="W66" s="59"/>
      <c r="X66" s="59"/>
      <c r="Y66" s="47">
        <f t="shared" si="8"/>
        <v>0</v>
      </c>
      <c r="Z66" s="131">
        <f t="shared" si="50"/>
        <v>0</v>
      </c>
    </row>
    <row r="67" spans="1:26">
      <c r="A67" s="55" t="s">
        <v>302</v>
      </c>
      <c r="B67" s="56"/>
      <c r="C67" s="128">
        <v>3578751</v>
      </c>
      <c r="D67" s="50">
        <f t="shared" si="63"/>
        <v>0</v>
      </c>
      <c r="E67" s="57"/>
      <c r="F67" s="58"/>
      <c r="G67" s="59"/>
      <c r="H67" s="59"/>
      <c r="I67" s="59"/>
      <c r="J67" s="59"/>
      <c r="K67" s="59"/>
      <c r="L67" s="45">
        <f t="shared" si="36"/>
        <v>0</v>
      </c>
      <c r="M67" s="58"/>
      <c r="N67" s="59"/>
      <c r="O67" s="46">
        <f t="shared" si="7"/>
        <v>0</v>
      </c>
      <c r="P67" s="58"/>
      <c r="Q67" s="59"/>
      <c r="R67" s="59"/>
      <c r="S67" s="59"/>
      <c r="T67" s="120">
        <f t="shared" si="38"/>
        <v>0</v>
      </c>
      <c r="U67" s="59"/>
      <c r="V67" s="59"/>
      <c r="W67" s="59"/>
      <c r="X67" s="59"/>
      <c r="Y67" s="47">
        <f t="shared" si="8"/>
        <v>0</v>
      </c>
      <c r="Z67" s="131">
        <f t="shared" si="50"/>
        <v>-3578751</v>
      </c>
    </row>
    <row r="68" spans="1:26" ht="38.25">
      <c r="A68" s="67" t="s">
        <v>305</v>
      </c>
      <c r="B68" s="68" t="s">
        <v>110</v>
      </c>
      <c r="C68" s="70">
        <f>SUM(C64,C59,C62,C63)</f>
        <v>14523785</v>
      </c>
      <c r="D68" s="69">
        <f t="shared" ref="D68:K68" si="64">SUM(D64,D59,D62,D63)</f>
        <v>9906340</v>
      </c>
      <c r="E68" s="70">
        <f t="shared" si="64"/>
        <v>1377035</v>
      </c>
      <c r="F68" s="71">
        <f t="shared" si="64"/>
        <v>831600</v>
      </c>
      <c r="G68" s="72">
        <f t="shared" si="64"/>
        <v>300000</v>
      </c>
      <c r="H68" s="72">
        <f t="shared" si="64"/>
        <v>522000</v>
      </c>
      <c r="I68" s="72">
        <f t="shared" si="64"/>
        <v>25000</v>
      </c>
      <c r="J68" s="72">
        <f t="shared" si="64"/>
        <v>50000</v>
      </c>
      <c r="K68" s="72">
        <f t="shared" si="64"/>
        <v>0</v>
      </c>
      <c r="L68" s="45">
        <f t="shared" si="36"/>
        <v>1728600</v>
      </c>
      <c r="M68" s="71">
        <f>SUM(M64,M59,M62,M63)</f>
        <v>4590000</v>
      </c>
      <c r="N68" s="72">
        <f>SUM(N64,N59,N62,N63)</f>
        <v>35145</v>
      </c>
      <c r="O68" s="46">
        <f>SUM(M68:N68)</f>
        <v>4625145</v>
      </c>
      <c r="P68" s="71">
        <f>SUM(P64,P59,P62,P63)</f>
        <v>12000</v>
      </c>
      <c r="Q68" s="72">
        <f>SUM(Q64,Q59,Q62,Q63)</f>
        <v>0</v>
      </c>
      <c r="R68" s="72">
        <f>SUM(R64,R59,R62,R63)</f>
        <v>0</v>
      </c>
      <c r="S68" s="72">
        <f>SUM(S64,S59,S62,S63)</f>
        <v>0</v>
      </c>
      <c r="T68" s="120">
        <f t="shared" si="38"/>
        <v>12000</v>
      </c>
      <c r="U68" s="72">
        <f>SUM(U64,U59,U62,U63)</f>
        <v>1380560</v>
      </c>
      <c r="V68" s="72">
        <f t="shared" ref="V68:X68" si="65">SUM(V64,V59,V62,V63)</f>
        <v>783000</v>
      </c>
      <c r="W68" s="72"/>
      <c r="X68" s="72">
        <f t="shared" si="65"/>
        <v>2163560</v>
      </c>
      <c r="Y68" s="47">
        <f t="shared" si="8"/>
        <v>0</v>
      </c>
      <c r="Z68" s="131">
        <f t="shared" si="50"/>
        <v>-4617445</v>
      </c>
    </row>
    <row r="69" spans="1:26" ht="15.75" thickBot="1">
      <c r="A69" s="76" t="s">
        <v>306</v>
      </c>
      <c r="B69" s="77" t="s">
        <v>112</v>
      </c>
      <c r="C69" s="79">
        <f t="shared" ref="C69:K69" si="66">SUM(C68,C58,C55,C31,C22)</f>
        <v>67244944</v>
      </c>
      <c r="D69" s="78">
        <f t="shared" si="66"/>
        <v>51252490</v>
      </c>
      <c r="E69" s="79">
        <f t="shared" si="66"/>
        <v>5014035</v>
      </c>
      <c r="F69" s="80">
        <f t="shared" si="66"/>
        <v>3921600</v>
      </c>
      <c r="G69" s="81">
        <f t="shared" si="66"/>
        <v>600000</v>
      </c>
      <c r="H69" s="81">
        <f t="shared" si="66"/>
        <v>2722000</v>
      </c>
      <c r="I69" s="81">
        <f t="shared" si="66"/>
        <v>107000</v>
      </c>
      <c r="J69" s="81">
        <f t="shared" si="66"/>
        <v>272000</v>
      </c>
      <c r="K69" s="81">
        <f t="shared" si="66"/>
        <v>0</v>
      </c>
      <c r="L69" s="45">
        <f t="shared" si="36"/>
        <v>7622600</v>
      </c>
      <c r="M69" s="80">
        <f>SUM(M68,M58,M55,M31,M22)</f>
        <v>25190000</v>
      </c>
      <c r="N69" s="81">
        <f>SUM(N68,N58,N55,N31,N22)</f>
        <v>165295</v>
      </c>
      <c r="O69" s="82">
        <f t="shared" si="7"/>
        <v>25355295</v>
      </c>
      <c r="P69" s="80">
        <f>SUM(P68,P58,P55,P31,P22)</f>
        <v>271000</v>
      </c>
      <c r="Q69" s="81">
        <f>SUM(Q68,Q58,Q55,Q31,Q22)</f>
        <v>0</v>
      </c>
      <c r="R69" s="81">
        <f>SUM(R68,R58,R55,R31,R22)</f>
        <v>2232000</v>
      </c>
      <c r="S69" s="81">
        <f>SUM(S68,S58,S55,S31,S22)</f>
        <v>90000</v>
      </c>
      <c r="T69" s="120">
        <f t="shared" si="38"/>
        <v>2593000</v>
      </c>
      <c r="U69" s="72">
        <f>SUM(U68,U58,U55,U31,U22)</f>
        <v>6984560</v>
      </c>
      <c r="V69" s="72">
        <f>SUM(V68,V58,V55,V31,V22)</f>
        <v>3683000</v>
      </c>
      <c r="W69" s="72"/>
      <c r="X69" s="72">
        <f>SUM(X68,X58,X55,X31,X22)</f>
        <v>10667560</v>
      </c>
      <c r="Y69" s="47">
        <f t="shared" si="8"/>
        <v>0</v>
      </c>
      <c r="Z69" s="131">
        <f t="shared" si="50"/>
        <v>-15992454</v>
      </c>
    </row>
  </sheetData>
  <mergeCells count="27">
    <mergeCell ref="C33:C35"/>
    <mergeCell ref="C41:C43"/>
    <mergeCell ref="C45:C50"/>
    <mergeCell ref="U7:V7"/>
    <mergeCell ref="X6:X7"/>
    <mergeCell ref="C9:C13"/>
    <mergeCell ref="C15:C20"/>
    <mergeCell ref="C24:C27"/>
    <mergeCell ref="C29:C30"/>
    <mergeCell ref="C5:C7"/>
    <mergeCell ref="F7:K7"/>
    <mergeCell ref="M7:N7"/>
    <mergeCell ref="P7:S7"/>
    <mergeCell ref="U5:X5"/>
    <mergeCell ref="M5:N5"/>
    <mergeCell ref="O5:O7"/>
    <mergeCell ref="P5:S5"/>
    <mergeCell ref="T5:T7"/>
    <mergeCell ref="A1:E1"/>
    <mergeCell ref="E3:K3"/>
    <mergeCell ref="R4:S4"/>
    <mergeCell ref="A5:A7"/>
    <mergeCell ref="B5:B7"/>
    <mergeCell ref="D5:D6"/>
    <mergeCell ref="E5:E6"/>
    <mergeCell ref="F5:K5"/>
    <mergeCell ref="L5:L7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7030A0"/>
  </sheetPr>
  <dimension ref="A1:G27"/>
  <sheetViews>
    <sheetView view="pageBreakPreview" zoomScale="110" zoomScaleNormal="100" zoomScaleSheetLayoutView="110" workbookViewId="0">
      <selection activeCell="E22" sqref="E22"/>
    </sheetView>
  </sheetViews>
  <sheetFormatPr defaultColWidth="8.7109375" defaultRowHeight="15"/>
  <cols>
    <col min="1" max="1" width="9.140625" style="413" customWidth="1"/>
    <col min="2" max="2" width="10.5703125" style="413" customWidth="1"/>
    <col min="3" max="3" width="30.85546875" style="413" customWidth="1"/>
    <col min="4" max="4" width="16.28515625" style="930" customWidth="1"/>
    <col min="5" max="5" width="16.140625" style="930" customWidth="1"/>
    <col min="6" max="6" width="14.5703125" style="414" customWidth="1"/>
    <col min="7" max="7" width="15.42578125" style="764" bestFit="1" customWidth="1"/>
    <col min="8" max="16384" width="8.7109375" style="413"/>
  </cols>
  <sheetData>
    <row r="1" spans="1:7" ht="22.5" customHeight="1">
      <c r="A1" s="1391" t="s">
        <v>446</v>
      </c>
      <c r="B1" s="1391"/>
      <c r="C1" s="1391"/>
    </row>
    <row r="2" spans="1:7">
      <c r="A2" s="1396" t="s">
        <v>840</v>
      </c>
      <c r="B2" s="1396"/>
      <c r="C2" s="1396"/>
      <c r="D2" s="1396"/>
      <c r="E2" s="1396"/>
      <c r="F2" s="1396"/>
      <c r="G2" s="1396"/>
    </row>
    <row r="3" spans="1:7">
      <c r="A3" s="931"/>
      <c r="B3" s="931"/>
      <c r="C3" s="1396" t="s">
        <v>1001</v>
      </c>
      <c r="D3" s="1396"/>
      <c r="E3" s="1396"/>
    </row>
    <row r="4" spans="1:7" ht="15.75" thickBot="1">
      <c r="C4" s="934"/>
    </row>
    <row r="5" spans="1:7">
      <c r="A5" s="935" t="s">
        <v>1</v>
      </c>
      <c r="B5" s="936" t="s">
        <v>308</v>
      </c>
      <c r="C5" s="1394"/>
      <c r="D5" s="1395"/>
      <c r="E5" s="937"/>
    </row>
    <row r="6" spans="1:7" ht="39" customHeight="1">
      <c r="A6" s="938" t="s">
        <v>309</v>
      </c>
      <c r="B6" s="1393" t="s">
        <v>484</v>
      </c>
      <c r="C6" s="1393"/>
      <c r="D6" s="932" t="s">
        <v>160</v>
      </c>
      <c r="E6" s="932" t="s">
        <v>648</v>
      </c>
      <c r="F6" s="1002" t="s">
        <v>951</v>
      </c>
      <c r="G6" s="1003" t="s">
        <v>637</v>
      </c>
    </row>
    <row r="7" spans="1:7">
      <c r="A7" s="939"/>
      <c r="B7" s="1392" t="s">
        <v>1002</v>
      </c>
      <c r="C7" s="1392"/>
      <c r="D7" s="940">
        <f>SUM(D8:D10)</f>
        <v>1050000</v>
      </c>
      <c r="E7" s="940">
        <f t="shared" ref="E7:F7" si="0">SUM(E8:E10)</f>
        <v>1050000</v>
      </c>
      <c r="F7" s="940">
        <f t="shared" si="0"/>
        <v>155200</v>
      </c>
      <c r="G7" s="765">
        <f>F7/D7</f>
        <v>0.14780952380952381</v>
      </c>
    </row>
    <row r="8" spans="1:7" ht="45">
      <c r="A8" s="933" t="s">
        <v>481</v>
      </c>
      <c r="B8" s="939"/>
      <c r="C8" s="941" t="s">
        <v>998</v>
      </c>
      <c r="D8" s="942">
        <v>400000</v>
      </c>
      <c r="E8" s="940">
        <f t="shared" ref="E8:E24" si="1">D8</f>
        <v>400000</v>
      </c>
      <c r="F8" s="266">
        <v>75200</v>
      </c>
      <c r="G8" s="765">
        <f t="shared" ref="G8:G10" si="2">F8/D8</f>
        <v>0.188</v>
      </c>
    </row>
    <row r="9" spans="1:7">
      <c r="A9" s="933" t="s">
        <v>481</v>
      </c>
      <c r="B9" s="943"/>
      <c r="C9" s="943" t="s">
        <v>999</v>
      </c>
      <c r="D9" s="942">
        <v>50000</v>
      </c>
      <c r="E9" s="940">
        <f t="shared" si="1"/>
        <v>50000</v>
      </c>
      <c r="F9" s="266"/>
      <c r="G9" s="765">
        <f t="shared" si="2"/>
        <v>0</v>
      </c>
    </row>
    <row r="10" spans="1:7" ht="30">
      <c r="A10" s="933" t="s">
        <v>481</v>
      </c>
      <c r="B10" s="939"/>
      <c r="C10" s="941" t="s">
        <v>1000</v>
      </c>
      <c r="D10" s="942">
        <v>600000</v>
      </c>
      <c r="E10" s="940">
        <f t="shared" si="1"/>
        <v>600000</v>
      </c>
      <c r="F10" s="266">
        <v>80000</v>
      </c>
      <c r="G10" s="765">
        <f t="shared" si="2"/>
        <v>0.13333333333333333</v>
      </c>
    </row>
    <row r="11" spans="1:7">
      <c r="A11" s="933" t="s">
        <v>481</v>
      </c>
      <c r="B11" s="1392" t="s">
        <v>482</v>
      </c>
      <c r="C11" s="1392"/>
      <c r="D11" s="944">
        <f>SUM(D12:D23)</f>
        <v>8140000</v>
      </c>
      <c r="E11" s="944">
        <f t="shared" ref="E11" si="3">SUM(E12:E23)</f>
        <v>8140000</v>
      </c>
      <c r="F11" s="944">
        <f>SUM(F12:F23)</f>
        <v>1218000</v>
      </c>
      <c r="G11" s="765">
        <f>F11/D11</f>
        <v>0.14963144963144964</v>
      </c>
    </row>
    <row r="12" spans="1:7" ht="30">
      <c r="A12" s="933" t="s">
        <v>481</v>
      </c>
      <c r="B12" s="939"/>
      <c r="C12" s="941" t="s">
        <v>1012</v>
      </c>
      <c r="D12" s="942">
        <v>700000</v>
      </c>
      <c r="E12" s="942">
        <f t="shared" si="1"/>
        <v>700000</v>
      </c>
      <c r="F12" s="266">
        <v>565000</v>
      </c>
      <c r="G12" s="765">
        <f t="shared" ref="G12:G24" si="4">F12/D12</f>
        <v>0.80714285714285716</v>
      </c>
    </row>
    <row r="13" spans="1:7">
      <c r="A13" s="933" t="s">
        <v>481</v>
      </c>
      <c r="B13" s="939"/>
      <c r="C13" s="941" t="s">
        <v>1003</v>
      </c>
      <c r="D13" s="942">
        <v>300000</v>
      </c>
      <c r="E13" s="942">
        <f t="shared" si="1"/>
        <v>300000</v>
      </c>
      <c r="F13" s="266">
        <v>180000</v>
      </c>
      <c r="G13" s="765">
        <f t="shared" si="4"/>
        <v>0.6</v>
      </c>
    </row>
    <row r="14" spans="1:7">
      <c r="A14" s="933" t="s">
        <v>483</v>
      </c>
      <c r="B14" s="939"/>
      <c r="C14" s="941" t="s">
        <v>1004</v>
      </c>
      <c r="D14" s="942">
        <v>800000</v>
      </c>
      <c r="E14" s="942">
        <f t="shared" si="1"/>
        <v>800000</v>
      </c>
      <c r="F14" s="266">
        <v>233000</v>
      </c>
      <c r="G14" s="765">
        <f t="shared" si="4"/>
        <v>0.29125000000000001</v>
      </c>
    </row>
    <row r="15" spans="1:7" ht="21" customHeight="1">
      <c r="A15" s="933" t="s">
        <v>481</v>
      </c>
      <c r="B15" s="939"/>
      <c r="C15" s="941" t="s">
        <v>1013</v>
      </c>
      <c r="D15" s="942">
        <v>800000</v>
      </c>
      <c r="E15" s="942">
        <f t="shared" si="1"/>
        <v>800000</v>
      </c>
      <c r="F15" s="266">
        <v>240000</v>
      </c>
      <c r="G15" s="765">
        <f t="shared" si="4"/>
        <v>0.3</v>
      </c>
    </row>
    <row r="16" spans="1:7" ht="30">
      <c r="A16" s="933" t="s">
        <v>481</v>
      </c>
      <c r="B16" s="939"/>
      <c r="C16" s="941" t="s">
        <v>1005</v>
      </c>
      <c r="D16" s="942">
        <v>0</v>
      </c>
      <c r="E16" s="942">
        <f t="shared" si="1"/>
        <v>0</v>
      </c>
      <c r="F16" s="266"/>
      <c r="G16" s="765" t="e">
        <f t="shared" si="4"/>
        <v>#DIV/0!</v>
      </c>
    </row>
    <row r="17" spans="1:7" ht="45">
      <c r="A17" s="933" t="s">
        <v>481</v>
      </c>
      <c r="B17" s="939"/>
      <c r="C17" s="941" t="s">
        <v>1014</v>
      </c>
      <c r="D17" s="942">
        <v>200000</v>
      </c>
      <c r="E17" s="942">
        <f t="shared" si="1"/>
        <v>200000</v>
      </c>
      <c r="F17" s="266"/>
      <c r="G17" s="765">
        <f t="shared" si="4"/>
        <v>0</v>
      </c>
    </row>
    <row r="18" spans="1:7" ht="18.75" customHeight="1">
      <c r="A18" s="933" t="s">
        <v>481</v>
      </c>
      <c r="B18" s="939"/>
      <c r="C18" s="941" t="s">
        <v>1006</v>
      </c>
      <c r="D18" s="942">
        <v>0</v>
      </c>
      <c r="E18" s="942">
        <f t="shared" si="1"/>
        <v>0</v>
      </c>
      <c r="F18" s="266">
        <v>0</v>
      </c>
      <c r="G18" s="765" t="e">
        <f t="shared" si="4"/>
        <v>#DIV/0!</v>
      </c>
    </row>
    <row r="19" spans="1:7" ht="35.25" customHeight="1">
      <c r="A19" s="933" t="s">
        <v>481</v>
      </c>
      <c r="B19" s="939"/>
      <c r="C19" s="941" t="s">
        <v>1007</v>
      </c>
      <c r="D19" s="942">
        <v>1100000</v>
      </c>
      <c r="E19" s="942">
        <f t="shared" si="1"/>
        <v>1100000</v>
      </c>
      <c r="F19" s="266"/>
      <c r="G19" s="765">
        <f t="shared" si="4"/>
        <v>0</v>
      </c>
    </row>
    <row r="20" spans="1:7" ht="45">
      <c r="A20" s="933" t="s">
        <v>481</v>
      </c>
      <c r="B20" s="939"/>
      <c r="C20" s="941" t="s">
        <v>1008</v>
      </c>
      <c r="D20" s="942">
        <v>800000</v>
      </c>
      <c r="E20" s="942">
        <f t="shared" si="1"/>
        <v>800000</v>
      </c>
      <c r="F20" s="266"/>
      <c r="G20" s="765">
        <f t="shared" si="4"/>
        <v>0</v>
      </c>
    </row>
    <row r="21" spans="1:7" ht="30">
      <c r="A21" s="933" t="s">
        <v>481</v>
      </c>
      <c r="B21" s="939"/>
      <c r="C21" s="943" t="s">
        <v>1009</v>
      </c>
      <c r="D21" s="942">
        <v>520000</v>
      </c>
      <c r="E21" s="942">
        <f t="shared" si="1"/>
        <v>520000</v>
      </c>
      <c r="F21" s="266">
        <v>0</v>
      </c>
      <c r="G21" s="765">
        <f t="shared" si="4"/>
        <v>0</v>
      </c>
    </row>
    <row r="22" spans="1:7" ht="35.25" customHeight="1">
      <c r="A22" s="933" t="s">
        <v>481</v>
      </c>
      <c r="B22" s="939"/>
      <c r="C22" s="941" t="s">
        <v>1010</v>
      </c>
      <c r="D22" s="942">
        <f>270*6000</f>
        <v>1620000</v>
      </c>
      <c r="E22" s="942">
        <f t="shared" si="1"/>
        <v>1620000</v>
      </c>
      <c r="F22" s="266"/>
      <c r="G22" s="765">
        <f t="shared" si="4"/>
        <v>0</v>
      </c>
    </row>
    <row r="23" spans="1:7" ht="21.75" customHeight="1">
      <c r="A23" s="933" t="s">
        <v>481</v>
      </c>
      <c r="B23" s="933"/>
      <c r="C23" s="941" t="s">
        <v>1011</v>
      </c>
      <c r="D23" s="942">
        <v>1300000</v>
      </c>
      <c r="E23" s="942">
        <f t="shared" si="1"/>
        <v>1300000</v>
      </c>
      <c r="F23" s="266"/>
      <c r="G23" s="765">
        <f t="shared" si="4"/>
        <v>0</v>
      </c>
    </row>
    <row r="24" spans="1:7" ht="21" customHeight="1">
      <c r="A24" s="933" t="s">
        <v>720</v>
      </c>
      <c r="B24" s="933"/>
      <c r="C24" s="941" t="s">
        <v>721</v>
      </c>
      <c r="D24" s="940">
        <v>300000</v>
      </c>
      <c r="E24" s="940">
        <f t="shared" si="1"/>
        <v>300000</v>
      </c>
      <c r="F24" s="266"/>
      <c r="G24" s="765">
        <f t="shared" si="4"/>
        <v>0</v>
      </c>
    </row>
    <row r="25" spans="1:7">
      <c r="A25" s="1390" t="s">
        <v>4</v>
      </c>
      <c r="B25" s="1390"/>
      <c r="C25" s="1390"/>
      <c r="D25" s="940">
        <f>SUM(D7,D11,D24)</f>
        <v>9490000</v>
      </c>
      <c r="E25" s="940">
        <f t="shared" ref="E25" si="5">SUM(E7,E11,E24)</f>
        <v>9490000</v>
      </c>
      <c r="F25" s="940">
        <f>SUM(F7,F11,F24)</f>
        <v>1373200</v>
      </c>
      <c r="G25" s="765">
        <f>F25/D25</f>
        <v>0.14469968387776608</v>
      </c>
    </row>
    <row r="26" spans="1:7">
      <c r="F26" s="414">
        <v>2250039</v>
      </c>
    </row>
    <row r="27" spans="1:7">
      <c r="F27" s="414">
        <f>F26-F25</f>
        <v>876839</v>
      </c>
    </row>
  </sheetData>
  <mergeCells count="8">
    <mergeCell ref="A25:C25"/>
    <mergeCell ref="A1:C1"/>
    <mergeCell ref="B7:C7"/>
    <mergeCell ref="B11:C11"/>
    <mergeCell ref="B6:C6"/>
    <mergeCell ref="C5:D5"/>
    <mergeCell ref="A2:G2"/>
    <mergeCell ref="C3:E3"/>
  </mergeCells>
  <pageMargins left="0.7" right="0.7" top="0.75" bottom="0.75" header="0.3" footer="0.3"/>
  <pageSetup paperSize="9" scale="73" orientation="portrait" r:id="rId1"/>
  <colBreaks count="1" manualBreakCount="1">
    <brk id="8" max="2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7030A0"/>
    <pageSetUpPr fitToPage="1"/>
  </sheetPr>
  <dimension ref="A1:I36"/>
  <sheetViews>
    <sheetView view="pageBreakPreview" zoomScale="110" zoomScaleNormal="100" zoomScaleSheetLayoutView="110" workbookViewId="0">
      <selection activeCell="F7" sqref="F7"/>
    </sheetView>
  </sheetViews>
  <sheetFormatPr defaultColWidth="8.7109375" defaultRowHeight="15.75"/>
  <cols>
    <col min="1" max="1" width="8.7109375" style="535"/>
    <col min="2" max="2" width="27" style="535" bestFit="1" customWidth="1"/>
    <col min="3" max="3" width="32" style="535" customWidth="1"/>
    <col min="4" max="4" width="16.5703125" style="672" bestFit="1" customWidth="1"/>
    <col min="5" max="5" width="16.28515625" style="672" customWidth="1"/>
    <col min="6" max="6" width="16.28515625" style="1004" bestFit="1" customWidth="1"/>
    <col min="7" max="7" width="17" style="730" bestFit="1" customWidth="1"/>
    <col min="8" max="8" width="8.7109375" style="535"/>
    <col min="9" max="9" width="12.5703125" style="535" bestFit="1" customWidth="1"/>
    <col min="10" max="16384" width="8.7109375" style="535"/>
  </cols>
  <sheetData>
    <row r="1" spans="1:9">
      <c r="A1" s="535" t="s">
        <v>447</v>
      </c>
    </row>
    <row r="3" spans="1:9">
      <c r="A3" s="1218" t="s">
        <v>715</v>
      </c>
      <c r="B3" s="1218"/>
      <c r="C3" s="1218"/>
      <c r="D3" s="1218"/>
      <c r="E3" s="995"/>
    </row>
    <row r="5" spans="1:9" ht="31.5">
      <c r="A5" s="997" t="s">
        <v>1</v>
      </c>
      <c r="B5" s="997" t="s">
        <v>310</v>
      </c>
      <c r="C5" s="997"/>
      <c r="D5" s="710" t="s">
        <v>638</v>
      </c>
      <c r="E5" s="709" t="s">
        <v>648</v>
      </c>
      <c r="F5" s="1017" t="s">
        <v>951</v>
      </c>
      <c r="G5" s="753" t="s">
        <v>637</v>
      </c>
    </row>
    <row r="6" spans="1:9" ht="36" customHeight="1">
      <c r="A6" s="1116"/>
      <c r="B6" s="1578" t="s">
        <v>1060</v>
      </c>
      <c r="C6" s="1579"/>
      <c r="D6" s="710">
        <v>0</v>
      </c>
      <c r="E6" s="709">
        <f>3902905+39670</f>
        <v>3942575</v>
      </c>
      <c r="F6" s="1017">
        <f>3902905+39670</f>
        <v>3942575</v>
      </c>
      <c r="G6" s="753"/>
    </row>
    <row r="7" spans="1:9" ht="46.5" customHeight="1">
      <c r="A7" s="1005"/>
      <c r="B7" s="1399" t="s">
        <v>494</v>
      </c>
      <c r="C7" s="1399"/>
      <c r="D7" s="1006">
        <f>SUM(D8:D11,D12)</f>
        <v>1350000</v>
      </c>
      <c r="E7" s="1006">
        <f>SUM(E8:E11,E12)</f>
        <v>3850000</v>
      </c>
      <c r="F7" s="1006">
        <f>SUM(F8:F12)</f>
        <v>788400</v>
      </c>
      <c r="G7" s="746">
        <f>F7/E7</f>
        <v>0.20477922077922078</v>
      </c>
    </row>
    <row r="8" spans="1:9" ht="31.5">
      <c r="A8" s="1007"/>
      <c r="B8" s="1007"/>
      <c r="C8" s="1008" t="s">
        <v>1024</v>
      </c>
      <c r="D8" s="1009">
        <v>500000</v>
      </c>
      <c r="E8" s="1016">
        <v>3000000</v>
      </c>
      <c r="F8" s="473">
        <v>500000</v>
      </c>
      <c r="G8" s="683">
        <f>F8/E8</f>
        <v>0.16666666666666666</v>
      </c>
    </row>
    <row r="9" spans="1:9">
      <c r="A9" s="1007"/>
      <c r="B9" s="1007"/>
      <c r="C9" s="1008" t="s">
        <v>497</v>
      </c>
      <c r="D9" s="1009">
        <v>600000</v>
      </c>
      <c r="E9" s="1016">
        <f t="shared" ref="E9:E35" si="0">SUM(D9)</f>
        <v>600000</v>
      </c>
      <c r="F9" s="473">
        <v>75000</v>
      </c>
      <c r="G9" s="683">
        <f>F9/E9</f>
        <v>0.125</v>
      </c>
    </row>
    <row r="10" spans="1:9" ht="31.5">
      <c r="A10" s="1010"/>
      <c r="B10" s="994" t="s">
        <v>1025</v>
      </c>
      <c r="C10" s="686"/>
      <c r="D10" s="1011"/>
      <c r="E10" s="1016">
        <f t="shared" si="0"/>
        <v>0</v>
      </c>
      <c r="F10" s="733">
        <v>213400</v>
      </c>
      <c r="G10" s="683" t="e">
        <f>F10/E10</f>
        <v>#DIV/0!</v>
      </c>
    </row>
    <row r="11" spans="1:9">
      <c r="A11" s="1010"/>
      <c r="B11" s="994" t="s">
        <v>512</v>
      </c>
      <c r="C11" s="686"/>
      <c r="D11" s="1011"/>
      <c r="E11" s="1016">
        <f t="shared" si="0"/>
        <v>0</v>
      </c>
      <c r="F11" s="1012"/>
      <c r="G11" s="683" t="e">
        <f t="shared" ref="G11" si="1">F11/E11</f>
        <v>#DIV/0!</v>
      </c>
    </row>
    <row r="12" spans="1:9" ht="38.25" customHeight="1">
      <c r="A12" s="1007"/>
      <c r="B12" s="1007"/>
      <c r="C12" s="1008" t="s">
        <v>692</v>
      </c>
      <c r="D12" s="1009">
        <v>250000</v>
      </c>
      <c r="E12" s="1016">
        <f t="shared" si="0"/>
        <v>250000</v>
      </c>
      <c r="F12" s="473"/>
      <c r="G12" s="683"/>
    </row>
    <row r="13" spans="1:9" ht="49.5" customHeight="1">
      <c r="A13" s="1007"/>
      <c r="B13" s="1399" t="s">
        <v>495</v>
      </c>
      <c r="C13" s="1399"/>
      <c r="D13" s="1006">
        <f>SUM(D14,D15,D16,D17,D18,D29,D30,D35)</f>
        <v>18985000</v>
      </c>
      <c r="E13" s="1006">
        <f t="shared" si="0"/>
        <v>18985000</v>
      </c>
      <c r="F13" s="1013">
        <f>SUM(F14:F18,F29,F30,F35)</f>
        <v>11072000</v>
      </c>
      <c r="G13" s="746">
        <f t="shared" ref="G13:G36" si="2">F13/D13</f>
        <v>0.58319726099552283</v>
      </c>
      <c r="I13" s="1004"/>
    </row>
    <row r="14" spans="1:9">
      <c r="A14" s="1007" t="s">
        <v>487</v>
      </c>
      <c r="B14" s="1007"/>
      <c r="C14" s="1008" t="s">
        <v>488</v>
      </c>
      <c r="D14" s="1009">
        <v>3600000</v>
      </c>
      <c r="E14" s="1016">
        <f t="shared" si="0"/>
        <v>3600000</v>
      </c>
      <c r="F14" s="473">
        <v>1500000</v>
      </c>
      <c r="G14" s="683">
        <f t="shared" si="2"/>
        <v>0.41666666666666669</v>
      </c>
    </row>
    <row r="15" spans="1:9">
      <c r="A15" s="1007" t="s">
        <v>489</v>
      </c>
      <c r="B15" s="1007"/>
      <c r="C15" s="1008" t="s">
        <v>490</v>
      </c>
      <c r="D15" s="1009">
        <v>6427000</v>
      </c>
      <c r="E15" s="1016">
        <f t="shared" si="0"/>
        <v>6427000</v>
      </c>
      <c r="F15" s="473">
        <v>2675000</v>
      </c>
      <c r="G15" s="683">
        <f t="shared" si="2"/>
        <v>0.41621285203049635</v>
      </c>
    </row>
    <row r="16" spans="1:9" ht="31.5">
      <c r="A16" s="1007"/>
      <c r="B16" s="1007"/>
      <c r="C16" s="1008" t="s">
        <v>537</v>
      </c>
      <c r="D16" s="1009">
        <v>0</v>
      </c>
      <c r="E16" s="1016">
        <f t="shared" si="0"/>
        <v>0</v>
      </c>
      <c r="F16" s="473"/>
      <c r="G16" s="683" t="e">
        <f t="shared" si="2"/>
        <v>#DIV/0!</v>
      </c>
    </row>
    <row r="17" spans="1:7">
      <c r="A17" s="1007"/>
      <c r="B17" s="1007"/>
      <c r="C17" s="1008" t="s">
        <v>538</v>
      </c>
      <c r="D17" s="1009">
        <v>0</v>
      </c>
      <c r="E17" s="1016">
        <f t="shared" si="0"/>
        <v>0</v>
      </c>
      <c r="F17" s="473"/>
      <c r="G17" s="683" t="e">
        <f t="shared" si="2"/>
        <v>#DIV/0!</v>
      </c>
    </row>
    <row r="18" spans="1:7">
      <c r="A18" s="1007" t="s">
        <v>486</v>
      </c>
      <c r="B18" s="1397" t="s">
        <v>491</v>
      </c>
      <c r="C18" s="1398"/>
      <c r="D18" s="1018">
        <f>SUM(D19:D28)</f>
        <v>4500000</v>
      </c>
      <c r="E18" s="1018">
        <f>SUM(E19:E28)</f>
        <v>4500000</v>
      </c>
      <c r="F18" s="1018">
        <f>SUM(F19:F28)</f>
        <v>3820000</v>
      </c>
      <c r="G18" s="683">
        <f t="shared" si="2"/>
        <v>0.84888888888888892</v>
      </c>
    </row>
    <row r="19" spans="1:7">
      <c r="A19" s="1007"/>
      <c r="B19" s="1007"/>
      <c r="C19" s="1014" t="s">
        <v>1015</v>
      </c>
      <c r="D19" s="1009">
        <v>2000000</v>
      </c>
      <c r="E19" s="1016">
        <f t="shared" si="0"/>
        <v>2000000</v>
      </c>
      <c r="F19" s="473">
        <v>2000000</v>
      </c>
      <c r="G19" s="683"/>
    </row>
    <row r="20" spans="1:7" ht="15" customHeight="1">
      <c r="A20" s="1007"/>
      <c r="B20" s="1007"/>
      <c r="C20" s="1014" t="s">
        <v>1016</v>
      </c>
      <c r="D20" s="1009">
        <v>0</v>
      </c>
      <c r="E20" s="1016">
        <f t="shared" si="0"/>
        <v>0</v>
      </c>
      <c r="F20" s="473">
        <v>140000</v>
      </c>
      <c r="G20" s="683"/>
    </row>
    <row r="21" spans="1:7">
      <c r="A21" s="1007"/>
      <c r="B21" s="1007"/>
      <c r="C21" s="1014" t="s">
        <v>1017</v>
      </c>
      <c r="D21" s="1009">
        <v>360000</v>
      </c>
      <c r="E21" s="1016">
        <f t="shared" si="0"/>
        <v>360000</v>
      </c>
      <c r="F21" s="473">
        <v>300000</v>
      </c>
      <c r="G21" s="683"/>
    </row>
    <row r="22" spans="1:7">
      <c r="A22" s="1007"/>
      <c r="B22" s="1007"/>
      <c r="C22" s="1014" t="s">
        <v>1018</v>
      </c>
      <c r="D22" s="1009">
        <v>950000</v>
      </c>
      <c r="E22" s="1016">
        <f t="shared" si="0"/>
        <v>950000</v>
      </c>
      <c r="F22" s="473">
        <v>280000</v>
      </c>
      <c r="G22" s="683"/>
    </row>
    <row r="23" spans="1:7">
      <c r="A23" s="1007"/>
      <c r="B23" s="1007"/>
      <c r="C23" s="1014" t="s">
        <v>1019</v>
      </c>
      <c r="D23" s="1009">
        <v>710000</v>
      </c>
      <c r="E23" s="1016">
        <f t="shared" si="0"/>
        <v>710000</v>
      </c>
      <c r="F23" s="473">
        <v>750000</v>
      </c>
      <c r="G23" s="683"/>
    </row>
    <row r="24" spans="1:7">
      <c r="A24" s="1007"/>
      <c r="B24" s="1007"/>
      <c r="C24" s="1014" t="s">
        <v>1020</v>
      </c>
      <c r="D24" s="1009">
        <v>280000</v>
      </c>
      <c r="E24" s="1016">
        <f t="shared" si="0"/>
        <v>280000</v>
      </c>
      <c r="F24" s="473">
        <v>350000</v>
      </c>
      <c r="G24" s="683"/>
    </row>
    <row r="25" spans="1:7">
      <c r="A25" s="1007"/>
      <c r="B25" s="1007"/>
      <c r="C25" s="1014" t="s">
        <v>1021</v>
      </c>
      <c r="D25" s="1009">
        <v>150000</v>
      </c>
      <c r="E25" s="1016">
        <f t="shared" si="0"/>
        <v>150000</v>
      </c>
      <c r="F25" s="473"/>
      <c r="G25" s="683"/>
    </row>
    <row r="26" spans="1:7">
      <c r="A26" s="1007"/>
      <c r="B26" s="1007"/>
      <c r="C26" s="1014" t="s">
        <v>1022</v>
      </c>
      <c r="D26" s="1009">
        <v>50000</v>
      </c>
      <c r="E26" s="1016">
        <f t="shared" si="0"/>
        <v>50000</v>
      </c>
      <c r="F26" s="473"/>
      <c r="G26" s="683"/>
    </row>
    <row r="27" spans="1:7" ht="31.5">
      <c r="A27" s="1007"/>
      <c r="B27" s="1007"/>
      <c r="C27" s="1015" t="s">
        <v>1023</v>
      </c>
      <c r="D27" s="1009">
        <v>0</v>
      </c>
      <c r="E27" s="1016">
        <f t="shared" si="0"/>
        <v>0</v>
      </c>
      <c r="F27" s="473">
        <v>0</v>
      </c>
      <c r="G27" s="683"/>
    </row>
    <row r="28" spans="1:7" ht="31.5">
      <c r="A28" s="1007"/>
      <c r="B28" s="1007"/>
      <c r="C28" s="1008" t="s">
        <v>689</v>
      </c>
      <c r="D28" s="1009">
        <v>0</v>
      </c>
      <c r="E28" s="1016">
        <f t="shared" si="0"/>
        <v>0</v>
      </c>
      <c r="F28" s="473">
        <v>0</v>
      </c>
      <c r="G28" s="683"/>
    </row>
    <row r="29" spans="1:7">
      <c r="A29" s="1005" t="s">
        <v>486</v>
      </c>
      <c r="B29" s="1397" t="s">
        <v>492</v>
      </c>
      <c r="C29" s="1398"/>
      <c r="D29" s="1018">
        <v>2000000</v>
      </c>
      <c r="E29" s="1006">
        <f t="shared" si="0"/>
        <v>2000000</v>
      </c>
      <c r="F29" s="473">
        <v>0</v>
      </c>
      <c r="G29" s="683">
        <f t="shared" si="2"/>
        <v>0</v>
      </c>
    </row>
    <row r="30" spans="1:7">
      <c r="A30" s="1005" t="s">
        <v>486</v>
      </c>
      <c r="B30" s="1397" t="s">
        <v>921</v>
      </c>
      <c r="C30" s="1398"/>
      <c r="D30" s="1018">
        <f>SUM(D31:D34)</f>
        <v>1450000</v>
      </c>
      <c r="E30" s="1018">
        <f t="shared" ref="E30:F30" si="3">SUM(E31:E34)</f>
        <v>1450000</v>
      </c>
      <c r="F30" s="1018">
        <f t="shared" si="3"/>
        <v>3077000</v>
      </c>
      <c r="G30" s="683">
        <f t="shared" si="2"/>
        <v>2.1220689655172413</v>
      </c>
    </row>
    <row r="31" spans="1:7" ht="31.5">
      <c r="A31" s="1005"/>
      <c r="B31" s="1007"/>
      <c r="C31" s="1008" t="s">
        <v>1026</v>
      </c>
      <c r="D31" s="1009">
        <v>150000</v>
      </c>
      <c r="E31" s="1016">
        <f t="shared" si="0"/>
        <v>150000</v>
      </c>
      <c r="F31" s="473">
        <v>1350000</v>
      </c>
      <c r="G31" s="683"/>
    </row>
    <row r="32" spans="1:7">
      <c r="A32" s="1005"/>
      <c r="B32" s="1007"/>
      <c r="C32" s="1008" t="s">
        <v>825</v>
      </c>
      <c r="D32" s="1009">
        <v>1200000</v>
      </c>
      <c r="E32" s="1016">
        <f t="shared" si="0"/>
        <v>1200000</v>
      </c>
      <c r="F32" s="473">
        <v>1727000</v>
      </c>
      <c r="G32" s="683"/>
    </row>
    <row r="33" spans="1:7" ht="31.5">
      <c r="A33" s="1005"/>
      <c r="B33" s="1010"/>
      <c r="C33" s="1008" t="s">
        <v>690</v>
      </c>
      <c r="D33" s="1009"/>
      <c r="E33" s="1016">
        <f t="shared" si="0"/>
        <v>0</v>
      </c>
      <c r="F33" s="473">
        <v>0</v>
      </c>
      <c r="G33" s="683"/>
    </row>
    <row r="34" spans="1:7" ht="63">
      <c r="A34" s="1005"/>
      <c r="B34" s="1010"/>
      <c r="C34" s="1008" t="s">
        <v>842</v>
      </c>
      <c r="D34" s="1009">
        <v>100000</v>
      </c>
      <c r="E34" s="1016">
        <f t="shared" si="0"/>
        <v>100000</v>
      </c>
      <c r="F34" s="473">
        <v>0</v>
      </c>
      <c r="G34" s="683"/>
    </row>
    <row r="35" spans="1:7">
      <c r="A35" s="1007" t="s">
        <v>486</v>
      </c>
      <c r="B35" s="1397" t="s">
        <v>493</v>
      </c>
      <c r="C35" s="1398"/>
      <c r="D35" s="1018">
        <f>(42000*2*12)</f>
        <v>1008000</v>
      </c>
      <c r="E35" s="1006">
        <f t="shared" si="0"/>
        <v>1008000</v>
      </c>
      <c r="F35" s="1013"/>
      <c r="G35" s="683">
        <f t="shared" si="2"/>
        <v>0</v>
      </c>
    </row>
    <row r="36" spans="1:7">
      <c r="A36" s="1269" t="s">
        <v>496</v>
      </c>
      <c r="B36" s="1269"/>
      <c r="C36" s="1269"/>
      <c r="D36" s="304">
        <f>SUM(D13,D7,D6)</f>
        <v>20335000</v>
      </c>
      <c r="E36" s="304">
        <f t="shared" ref="E36:F36" si="4">SUM(E13,E7,E6)</f>
        <v>26777575</v>
      </c>
      <c r="F36" s="304">
        <f t="shared" si="4"/>
        <v>15802975</v>
      </c>
      <c r="G36" s="683">
        <f t="shared" si="2"/>
        <v>0.77713179247602659</v>
      </c>
    </row>
  </sheetData>
  <mergeCells count="9">
    <mergeCell ref="A3:D3"/>
    <mergeCell ref="A36:C36"/>
    <mergeCell ref="B18:C18"/>
    <mergeCell ref="B29:C29"/>
    <mergeCell ref="B30:C30"/>
    <mergeCell ref="B35:C35"/>
    <mergeCell ref="B7:C7"/>
    <mergeCell ref="B13:C13"/>
    <mergeCell ref="B6:C6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7030A0"/>
    <pageSetUpPr fitToPage="1"/>
  </sheetPr>
  <dimension ref="A1:F70"/>
  <sheetViews>
    <sheetView view="pageBreakPreview" topLeftCell="A42" zoomScale="130" zoomScaleNormal="100" zoomScaleSheetLayoutView="130" workbookViewId="0">
      <selection activeCell="F55" sqref="F55"/>
    </sheetView>
  </sheetViews>
  <sheetFormatPr defaultColWidth="8.7109375" defaultRowHeight="12.75"/>
  <cols>
    <col min="1" max="1" width="57.7109375" style="1027" customWidth="1"/>
    <col min="2" max="2" width="23" style="1025" bestFit="1" customWidth="1"/>
    <col min="3" max="3" width="20.5703125" style="1026" customWidth="1"/>
    <col min="4" max="4" width="18.7109375" style="1026" bestFit="1" customWidth="1"/>
    <col min="5" max="5" width="19.42578125" style="1027" bestFit="1" customWidth="1"/>
    <col min="6" max="6" width="13.140625" style="1027" bestFit="1" customWidth="1"/>
    <col min="7" max="16384" width="8.7109375" style="1027"/>
  </cols>
  <sheetData>
    <row r="1" spans="1:6">
      <c r="A1" s="1019" t="s">
        <v>530</v>
      </c>
    </row>
    <row r="2" spans="1:6">
      <c r="A2" s="1028"/>
    </row>
    <row r="3" spans="1:6" ht="15" customHeight="1">
      <c r="A3" s="1400" t="s">
        <v>498</v>
      </c>
      <c r="B3" s="1400"/>
      <c r="C3" s="1400"/>
      <c r="D3" s="1400"/>
      <c r="E3" s="1029"/>
    </row>
    <row r="4" spans="1:6">
      <c r="A4" s="1029"/>
      <c r="B4" s="1029"/>
      <c r="C4" s="1029"/>
      <c r="D4" s="1029"/>
      <c r="E4" s="1029"/>
    </row>
    <row r="5" spans="1:6">
      <c r="E5" s="1030"/>
      <c r="F5" s="1030"/>
    </row>
    <row r="6" spans="1:6" ht="25.5">
      <c r="A6" s="259" t="s">
        <v>2</v>
      </c>
      <c r="B6" s="1035" t="s">
        <v>843</v>
      </c>
      <c r="C6" s="1036" t="s">
        <v>844</v>
      </c>
      <c r="D6" s="1049" t="s">
        <v>951</v>
      </c>
      <c r="E6" s="1031"/>
      <c r="F6" s="1031"/>
    </row>
    <row r="7" spans="1:6" ht="41.25" hidden="1" customHeight="1">
      <c r="A7" s="222" t="s">
        <v>113</v>
      </c>
      <c r="B7" s="1032"/>
      <c r="C7" s="1033"/>
      <c r="D7" s="1050"/>
      <c r="E7" s="1030"/>
      <c r="F7" s="1030"/>
    </row>
    <row r="8" spans="1:6" ht="65.25" hidden="1" customHeight="1">
      <c r="A8" s="221" t="s">
        <v>311</v>
      </c>
      <c r="B8" s="1032"/>
      <c r="C8" s="1033"/>
      <c r="D8" s="1050"/>
      <c r="E8" s="1030"/>
      <c r="F8" s="1030"/>
    </row>
    <row r="9" spans="1:6">
      <c r="A9" s="221" t="s">
        <v>1054</v>
      </c>
      <c r="B9" s="1040"/>
      <c r="C9" s="1041">
        <f>SUM(B9)</f>
        <v>0</v>
      </c>
      <c r="D9" s="1050">
        <v>0</v>
      </c>
      <c r="E9" s="1030"/>
      <c r="F9" s="1030"/>
    </row>
    <row r="10" spans="1:6">
      <c r="A10" s="221" t="s">
        <v>1040</v>
      </c>
      <c r="B10" s="1042"/>
      <c r="C10" s="1041">
        <f t="shared" ref="C10:C64" si="0">SUM(B10)</f>
        <v>0</v>
      </c>
      <c r="D10" s="1050"/>
    </row>
    <row r="11" spans="1:6">
      <c r="A11" s="221" t="s">
        <v>1041</v>
      </c>
      <c r="B11" s="1042"/>
      <c r="C11" s="1041">
        <f t="shared" si="0"/>
        <v>0</v>
      </c>
      <c r="D11" s="1050">
        <v>0</v>
      </c>
    </row>
    <row r="12" spans="1:6">
      <c r="A12" s="221" t="s">
        <v>1042</v>
      </c>
      <c r="B12" s="1042"/>
      <c r="C12" s="1041">
        <f t="shared" si="0"/>
        <v>0</v>
      </c>
      <c r="D12" s="1050"/>
    </row>
    <row r="13" spans="1:6">
      <c r="A13" s="221" t="s">
        <v>1055</v>
      </c>
      <c r="B13" s="1043">
        <f>176776502-6707509-150800</f>
        <v>169918193</v>
      </c>
      <c r="C13" s="1041">
        <f t="shared" si="0"/>
        <v>169918193</v>
      </c>
      <c r="D13" s="1050">
        <v>5080</v>
      </c>
    </row>
    <row r="14" spans="1:6">
      <c r="A14" s="221" t="s">
        <v>845</v>
      </c>
      <c r="B14" s="1041">
        <v>8000000</v>
      </c>
      <c r="C14" s="1041">
        <v>0</v>
      </c>
      <c r="D14" s="1050"/>
    </row>
    <row r="15" spans="1:6">
      <c r="A15" s="221" t="s">
        <v>1056</v>
      </c>
      <c r="B15" s="1041"/>
      <c r="C15" s="1041">
        <f t="shared" si="0"/>
        <v>0</v>
      </c>
      <c r="D15" s="1050">
        <v>0</v>
      </c>
    </row>
    <row r="16" spans="1:6">
      <c r="A16" s="221" t="s">
        <v>796</v>
      </c>
      <c r="B16" s="1041">
        <v>2200000</v>
      </c>
      <c r="C16" s="1041">
        <f t="shared" si="0"/>
        <v>2200000</v>
      </c>
      <c r="D16" s="1050"/>
    </row>
    <row r="17" spans="1:5">
      <c r="A17" s="221"/>
      <c r="B17" s="1044">
        <f>SUM(B9:B16)</f>
        <v>180118193</v>
      </c>
      <c r="C17" s="1044">
        <f>SUM(C9:C16)</f>
        <v>172118193</v>
      </c>
      <c r="D17" s="1051">
        <f t="shared" ref="D17" si="1">SUM(D9:D16)</f>
        <v>5080</v>
      </c>
    </row>
    <row r="18" spans="1:5">
      <c r="A18" s="222" t="s">
        <v>312</v>
      </c>
      <c r="B18" s="1044">
        <f>SUM(B19:B28)</f>
        <v>23556000</v>
      </c>
      <c r="C18" s="1044">
        <f>SUM(C19:C28)</f>
        <v>10521751</v>
      </c>
      <c r="D18" s="1051">
        <f>SUM(D19:D28)</f>
        <v>0</v>
      </c>
    </row>
    <row r="19" spans="1:5">
      <c r="A19" s="1021" t="s">
        <v>1028</v>
      </c>
      <c r="B19" s="1041"/>
      <c r="C19" s="1041">
        <f t="shared" si="0"/>
        <v>0</v>
      </c>
      <c r="D19" s="1050">
        <v>0</v>
      </c>
    </row>
    <row r="20" spans="1:5" ht="25.5">
      <c r="A20" s="1022" t="s">
        <v>913</v>
      </c>
      <c r="B20" s="1045">
        <v>20000000</v>
      </c>
      <c r="C20" s="1041">
        <f>7565751-600000</f>
        <v>6965751</v>
      </c>
      <c r="D20" s="1050">
        <v>0</v>
      </c>
    </row>
    <row r="21" spans="1:5" ht="13.5">
      <c r="A21" s="1021" t="s">
        <v>1036</v>
      </c>
      <c r="B21" s="1041"/>
      <c r="C21" s="1041">
        <f t="shared" si="0"/>
        <v>0</v>
      </c>
      <c r="D21" s="1050">
        <v>0</v>
      </c>
    </row>
    <row r="22" spans="1:5">
      <c r="A22" s="1021" t="s">
        <v>785</v>
      </c>
      <c r="B22" s="1041"/>
      <c r="C22" s="1041">
        <f t="shared" si="0"/>
        <v>0</v>
      </c>
      <c r="D22" s="1050"/>
    </row>
    <row r="23" spans="1:5">
      <c r="A23" s="1021" t="s">
        <v>786</v>
      </c>
      <c r="B23" s="1045">
        <v>3556000</v>
      </c>
      <c r="C23" s="1041">
        <f t="shared" si="0"/>
        <v>3556000</v>
      </c>
      <c r="D23" s="1050">
        <v>0</v>
      </c>
    </row>
    <row r="24" spans="1:5" ht="13.5">
      <c r="A24" s="1023" t="s">
        <v>917</v>
      </c>
      <c r="B24" s="1041"/>
      <c r="C24" s="1041">
        <f t="shared" si="0"/>
        <v>0</v>
      </c>
      <c r="D24" s="1050"/>
    </row>
    <row r="25" spans="1:5" ht="13.5">
      <c r="A25" s="1023" t="s">
        <v>787</v>
      </c>
      <c r="B25" s="1041"/>
      <c r="C25" s="1041">
        <f t="shared" si="0"/>
        <v>0</v>
      </c>
      <c r="D25" s="1050">
        <v>0</v>
      </c>
    </row>
    <row r="26" spans="1:5" ht="13.5">
      <c r="A26" s="1023" t="s">
        <v>788</v>
      </c>
      <c r="B26" s="1041"/>
      <c r="C26" s="1041">
        <f t="shared" si="0"/>
        <v>0</v>
      </c>
      <c r="D26" s="1050">
        <v>0</v>
      </c>
      <c r="E26" s="1034"/>
    </row>
    <row r="27" spans="1:5" ht="13.5">
      <c r="A27" s="1023" t="s">
        <v>789</v>
      </c>
      <c r="B27" s="1041">
        <v>0</v>
      </c>
      <c r="C27" s="1041">
        <f t="shared" si="0"/>
        <v>0</v>
      </c>
      <c r="D27" s="1050">
        <v>0</v>
      </c>
    </row>
    <row r="28" spans="1:5" ht="13.5">
      <c r="A28" s="1023" t="s">
        <v>790</v>
      </c>
      <c r="B28" s="1041"/>
      <c r="C28" s="1041">
        <f t="shared" si="0"/>
        <v>0</v>
      </c>
      <c r="D28" s="1050">
        <v>0</v>
      </c>
    </row>
    <row r="29" spans="1:5">
      <c r="A29" s="222" t="s">
        <v>313</v>
      </c>
      <c r="B29" s="1041">
        <v>0</v>
      </c>
      <c r="C29" s="1041">
        <f t="shared" si="0"/>
        <v>0</v>
      </c>
      <c r="D29" s="1050"/>
    </row>
    <row r="30" spans="1:5">
      <c r="A30" s="222" t="s">
        <v>119</v>
      </c>
      <c r="B30" s="1044">
        <f>SUM(B31:B35)</f>
        <v>3000000</v>
      </c>
      <c r="C30" s="1044">
        <f>SUM(C31:C35)</f>
        <v>2000000</v>
      </c>
      <c r="D30" s="1051">
        <f>SUM(D31:D35)</f>
        <v>0</v>
      </c>
    </row>
    <row r="31" spans="1:5">
      <c r="A31" s="221" t="s">
        <v>791</v>
      </c>
      <c r="B31" s="1041"/>
      <c r="C31" s="1041">
        <f t="shared" si="0"/>
        <v>0</v>
      </c>
      <c r="D31" s="1050">
        <v>0</v>
      </c>
    </row>
    <row r="32" spans="1:5">
      <c r="A32" s="221" t="s">
        <v>915</v>
      </c>
      <c r="B32" s="1041">
        <v>2000000</v>
      </c>
      <c r="C32" s="1041">
        <f t="shared" si="0"/>
        <v>2000000</v>
      </c>
      <c r="D32" s="1050"/>
    </row>
    <row r="33" spans="1:5">
      <c r="A33" s="222" t="s">
        <v>905</v>
      </c>
      <c r="B33" s="1041"/>
      <c r="C33" s="1041">
        <f t="shared" si="0"/>
        <v>0</v>
      </c>
      <c r="D33" s="1050"/>
    </row>
    <row r="34" spans="1:5">
      <c r="A34" s="222" t="s">
        <v>794</v>
      </c>
      <c r="B34" s="1041"/>
      <c r="C34" s="1041">
        <f t="shared" si="0"/>
        <v>0</v>
      </c>
      <c r="D34" s="1050"/>
    </row>
    <row r="35" spans="1:5">
      <c r="A35" s="222" t="s">
        <v>1029</v>
      </c>
      <c r="B35" s="1041">
        <v>1000000</v>
      </c>
      <c r="C35" s="1041"/>
      <c r="D35" s="1050"/>
    </row>
    <row r="36" spans="1:5" s="1039" customFormat="1" ht="19.5">
      <c r="A36" s="1037" t="s">
        <v>1053</v>
      </c>
      <c r="B36" s="1046">
        <f>SUM(B30,B29,B7,B18,B17)</f>
        <v>206674193</v>
      </c>
      <c r="C36" s="1046">
        <f>SUM(C30,C29,C7,C18,C17)</f>
        <v>184639944</v>
      </c>
      <c r="D36" s="1052">
        <f>SUM(D30,D29,D7,D18,D17)</f>
        <v>5080</v>
      </c>
      <c r="E36" s="1038">
        <f>B36-C36</f>
        <v>22034249</v>
      </c>
    </row>
    <row r="37" spans="1:5">
      <c r="A37" s="222" t="s">
        <v>129</v>
      </c>
      <c r="B37" s="1044">
        <f>SUM(B38:B64)</f>
        <v>63289568</v>
      </c>
      <c r="C37" s="1044">
        <f>SUM(C38:C64)</f>
        <v>55789568</v>
      </c>
      <c r="D37" s="1051">
        <f>SUM(D38:D64)</f>
        <v>1627300</v>
      </c>
    </row>
    <row r="38" spans="1:5">
      <c r="A38" s="1022" t="s">
        <v>1043</v>
      </c>
      <c r="B38" s="1041"/>
      <c r="C38" s="1041">
        <f t="shared" si="0"/>
        <v>0</v>
      </c>
      <c r="D38" s="1050"/>
    </row>
    <row r="39" spans="1:5">
      <c r="A39" s="1022" t="s">
        <v>914</v>
      </c>
      <c r="B39" s="1041">
        <v>500000</v>
      </c>
      <c r="C39" s="1041">
        <f t="shared" si="0"/>
        <v>500000</v>
      </c>
      <c r="D39" s="1050">
        <v>0</v>
      </c>
    </row>
    <row r="40" spans="1:5">
      <c r="A40" s="1024" t="s">
        <v>1030</v>
      </c>
      <c r="B40" s="1041">
        <v>1000000</v>
      </c>
      <c r="C40" s="1041"/>
      <c r="D40" s="1050"/>
    </row>
    <row r="41" spans="1:5">
      <c r="A41" s="1024" t="s">
        <v>1031</v>
      </c>
      <c r="B41" s="1041"/>
      <c r="C41" s="1041">
        <f t="shared" si="0"/>
        <v>0</v>
      </c>
      <c r="D41" s="1050">
        <v>0</v>
      </c>
    </row>
    <row r="42" spans="1:5" ht="14.1" customHeight="1">
      <c r="A42" s="1023" t="s">
        <v>1051</v>
      </c>
      <c r="B42" s="1041"/>
      <c r="C42" s="1041">
        <f t="shared" si="0"/>
        <v>0</v>
      </c>
      <c r="D42" s="1050"/>
    </row>
    <row r="43" spans="1:5">
      <c r="A43" s="1024" t="s">
        <v>912</v>
      </c>
      <c r="B43" s="1041"/>
      <c r="C43" s="1041">
        <f t="shared" si="0"/>
        <v>0</v>
      </c>
      <c r="D43" s="1050"/>
    </row>
    <row r="44" spans="1:5">
      <c r="A44" s="1024" t="s">
        <v>916</v>
      </c>
      <c r="B44" s="1041">
        <v>2000000</v>
      </c>
      <c r="C44" s="1041">
        <f t="shared" si="0"/>
        <v>2000000</v>
      </c>
      <c r="D44" s="1050"/>
    </row>
    <row r="45" spans="1:5">
      <c r="A45" s="1022" t="s">
        <v>783</v>
      </c>
      <c r="B45" s="1045">
        <v>3000000</v>
      </c>
      <c r="C45" s="1041"/>
      <c r="D45" s="1050">
        <v>0</v>
      </c>
    </row>
    <row r="46" spans="1:5" ht="26.25">
      <c r="A46" s="1021" t="s">
        <v>1027</v>
      </c>
      <c r="B46" s="1041"/>
      <c r="C46" s="1041">
        <f t="shared" si="0"/>
        <v>0</v>
      </c>
      <c r="D46" s="1050">
        <v>0</v>
      </c>
    </row>
    <row r="47" spans="1:5">
      <c r="A47" s="1021" t="s">
        <v>784</v>
      </c>
      <c r="B47" s="1041">
        <v>0</v>
      </c>
      <c r="C47" s="1041">
        <f t="shared" si="0"/>
        <v>0</v>
      </c>
      <c r="D47" s="1050"/>
    </row>
    <row r="48" spans="1:5">
      <c r="A48" s="1021" t="s">
        <v>785</v>
      </c>
      <c r="B48" s="1041">
        <v>2000000</v>
      </c>
      <c r="C48" s="1041"/>
      <c r="D48" s="1050"/>
    </row>
    <row r="49" spans="1:6" ht="13.5">
      <c r="A49" s="1023" t="s">
        <v>846</v>
      </c>
      <c r="B49" s="1041">
        <v>4000000</v>
      </c>
      <c r="C49" s="1041">
        <f t="shared" si="0"/>
        <v>4000000</v>
      </c>
      <c r="D49" s="1050">
        <v>0</v>
      </c>
    </row>
    <row r="50" spans="1:6" ht="13.5">
      <c r="A50" s="1023" t="s">
        <v>789</v>
      </c>
      <c r="B50" s="1041">
        <v>0</v>
      </c>
      <c r="C50" s="1041">
        <f t="shared" si="0"/>
        <v>0</v>
      </c>
      <c r="D50" s="1050">
        <v>0</v>
      </c>
    </row>
    <row r="51" spans="1:6" ht="13.5">
      <c r="A51" s="1023" t="s">
        <v>790</v>
      </c>
      <c r="B51" s="1041"/>
      <c r="C51" s="1041">
        <f t="shared" si="0"/>
        <v>0</v>
      </c>
      <c r="D51" s="1050" t="s">
        <v>918</v>
      </c>
    </row>
    <row r="52" spans="1:6" ht="13.5">
      <c r="A52" s="1023" t="s">
        <v>835</v>
      </c>
      <c r="B52" s="1041">
        <v>21639471</v>
      </c>
      <c r="C52" s="1041">
        <f t="shared" si="0"/>
        <v>21639471</v>
      </c>
      <c r="D52" s="1050"/>
    </row>
    <row r="53" spans="1:6" ht="13.5">
      <c r="A53" s="222" t="s">
        <v>1037</v>
      </c>
      <c r="B53" s="1041">
        <v>24950097</v>
      </c>
      <c r="C53" s="1041">
        <f t="shared" si="0"/>
        <v>24950097</v>
      </c>
      <c r="D53" s="1050"/>
    </row>
    <row r="54" spans="1:6">
      <c r="A54" s="222" t="s">
        <v>1038</v>
      </c>
      <c r="B54" s="1041">
        <v>1500000</v>
      </c>
      <c r="C54" s="1041"/>
      <c r="D54" s="1050">
        <v>0</v>
      </c>
    </row>
    <row r="55" spans="1:6">
      <c r="A55" s="222" t="s">
        <v>1039</v>
      </c>
      <c r="B55" s="1041"/>
      <c r="C55" s="1041">
        <f t="shared" si="0"/>
        <v>0</v>
      </c>
      <c r="D55" s="1050"/>
    </row>
    <row r="56" spans="1:6" s="1028" customFormat="1">
      <c r="A56" s="221" t="s">
        <v>1045</v>
      </c>
      <c r="B56" s="1042">
        <v>1700000</v>
      </c>
      <c r="C56" s="1041">
        <f t="shared" si="0"/>
        <v>1700000</v>
      </c>
      <c r="D56" s="1050">
        <v>1627300</v>
      </c>
    </row>
    <row r="57" spans="1:6">
      <c r="A57" s="222" t="s">
        <v>792</v>
      </c>
      <c r="B57" s="1041"/>
      <c r="C57" s="1041">
        <f t="shared" si="0"/>
        <v>0</v>
      </c>
      <c r="D57" s="1050" t="s">
        <v>918</v>
      </c>
    </row>
    <row r="58" spans="1:6">
      <c r="A58" s="222" t="s">
        <v>793</v>
      </c>
      <c r="B58" s="1041"/>
      <c r="C58" s="1041">
        <f t="shared" si="0"/>
        <v>0</v>
      </c>
      <c r="D58" s="1050"/>
    </row>
    <row r="59" spans="1:6">
      <c r="A59" s="222" t="s">
        <v>794</v>
      </c>
      <c r="B59" s="1041"/>
      <c r="C59" s="1041">
        <f t="shared" si="0"/>
        <v>0</v>
      </c>
      <c r="D59" s="1050"/>
    </row>
    <row r="60" spans="1:6">
      <c r="A60" s="86" t="s">
        <v>782</v>
      </c>
      <c r="B60" s="1041"/>
      <c r="C60" s="1041">
        <f t="shared" si="0"/>
        <v>0</v>
      </c>
      <c r="D60" s="1050"/>
      <c r="F60" s="261"/>
    </row>
    <row r="61" spans="1:6">
      <c r="A61" s="222" t="s">
        <v>1032</v>
      </c>
      <c r="B61" s="1041"/>
      <c r="C61" s="1041">
        <f t="shared" si="0"/>
        <v>0</v>
      </c>
      <c r="D61" s="1050"/>
    </row>
    <row r="62" spans="1:6">
      <c r="A62" s="222" t="s">
        <v>1033</v>
      </c>
      <c r="B62" s="1041"/>
      <c r="C62" s="1041">
        <f t="shared" si="0"/>
        <v>0</v>
      </c>
      <c r="D62" s="1050"/>
    </row>
    <row r="63" spans="1:6">
      <c r="A63" s="222" t="s">
        <v>1034</v>
      </c>
      <c r="B63" s="1041"/>
      <c r="C63" s="1041">
        <f t="shared" si="0"/>
        <v>0</v>
      </c>
      <c r="D63" s="1050"/>
    </row>
    <row r="64" spans="1:6">
      <c r="A64" s="222" t="s">
        <v>1035</v>
      </c>
      <c r="B64" s="1041">
        <v>1000000</v>
      </c>
      <c r="C64" s="1041">
        <f t="shared" si="0"/>
        <v>1000000</v>
      </c>
      <c r="D64" s="1050"/>
    </row>
    <row r="65" spans="1:6">
      <c r="A65" s="260" t="s">
        <v>133</v>
      </c>
      <c r="B65" s="1044">
        <f>SUM(B66:B66)</f>
        <v>3407022</v>
      </c>
      <c r="C65" s="1044">
        <f>SUM(C66:C66)</f>
        <v>3407022</v>
      </c>
      <c r="D65" s="1051">
        <f>SUM(D66)</f>
        <v>3407022</v>
      </c>
    </row>
    <row r="66" spans="1:6">
      <c r="A66" s="221" t="s">
        <v>795</v>
      </c>
      <c r="B66" s="348">
        <v>3407022</v>
      </c>
      <c r="C66" s="1041">
        <f t="shared" ref="C66:C67" si="2">SUM(B66)</f>
        <v>3407022</v>
      </c>
      <c r="D66" s="1050">
        <v>3407022</v>
      </c>
    </row>
    <row r="67" spans="1:6">
      <c r="A67" s="222" t="s">
        <v>1044</v>
      </c>
      <c r="B67" s="1041"/>
      <c r="C67" s="1041">
        <f t="shared" si="2"/>
        <v>0</v>
      </c>
      <c r="D67" s="1050">
        <v>919896</v>
      </c>
    </row>
    <row r="68" spans="1:6" ht="19.5">
      <c r="A68" s="1037" t="s">
        <v>1052</v>
      </c>
      <c r="B68" s="1047">
        <f>SUM(B37,B65)</f>
        <v>66696590</v>
      </c>
      <c r="C68" s="1047">
        <f>SUM(C37,C65)</f>
        <v>59196590</v>
      </c>
      <c r="D68" s="1053">
        <f>SUM(D37,D65)</f>
        <v>5034322</v>
      </c>
      <c r="E68" s="1048">
        <f>B68-C68</f>
        <v>7500000</v>
      </c>
      <c r="F68" s="1034">
        <f>E36+E68</f>
        <v>29534249</v>
      </c>
    </row>
    <row r="69" spans="1:6">
      <c r="B69" s="1026"/>
    </row>
    <row r="70" spans="1:6">
      <c r="B70" s="1026"/>
    </row>
  </sheetData>
  <mergeCells count="1">
    <mergeCell ref="A3:D3"/>
  </mergeCells>
  <pageMargins left="0.70866141732283472" right="0.70866141732283472" top="0.74803149606299213" bottom="0.74803149606299213" header="0.31496062992125984" footer="0.31496062992125984"/>
  <pageSetup paperSize="8" orientation="portrait" r:id="rId1"/>
  <colBreaks count="1" manualBreakCount="1">
    <brk id="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26"/>
  <sheetViews>
    <sheetView view="pageBreakPreview" topLeftCell="A10" zoomScale="110" zoomScaleNormal="100" zoomScaleSheetLayoutView="110" workbookViewId="0">
      <selection activeCell="E19" sqref="E19"/>
    </sheetView>
  </sheetViews>
  <sheetFormatPr defaultRowHeight="15"/>
  <cols>
    <col min="1" max="1" width="22.85546875" customWidth="1"/>
    <col min="3" max="5" width="23.140625" style="6" customWidth="1"/>
    <col min="6" max="6" width="30.85546875" customWidth="1"/>
    <col min="7" max="7" width="29.7109375" customWidth="1"/>
    <col min="9" max="11" width="22.7109375" style="6" customWidth="1"/>
    <col min="12" max="12" width="17.7109375" customWidth="1"/>
  </cols>
  <sheetData>
    <row r="1" spans="1:12">
      <c r="A1" t="s">
        <v>439</v>
      </c>
    </row>
    <row r="3" spans="1:12">
      <c r="A3" s="1156" t="s">
        <v>911</v>
      </c>
      <c r="B3" s="1156"/>
      <c r="C3" s="1156"/>
      <c r="D3" s="1156"/>
      <c r="E3" s="1156"/>
      <c r="F3" s="1156"/>
      <c r="G3" s="1156"/>
      <c r="H3" s="1156"/>
      <c r="I3" s="1156"/>
    </row>
    <row r="4" spans="1:12">
      <c r="A4" s="1156"/>
      <c r="B4" s="1156"/>
      <c r="C4" s="1156"/>
      <c r="D4" s="1156"/>
      <c r="E4" s="1156"/>
      <c r="F4" s="1156"/>
      <c r="G4" s="1156"/>
      <c r="H4" s="1156"/>
      <c r="I4" s="1156"/>
    </row>
    <row r="6" spans="1:12" ht="18">
      <c r="A6" s="1170" t="s">
        <v>331</v>
      </c>
      <c r="B6" s="1171"/>
      <c r="C6" s="1171"/>
      <c r="D6" s="1171"/>
      <c r="E6" s="1171"/>
      <c r="F6" s="1172"/>
      <c r="G6" s="1173" t="s">
        <v>332</v>
      </c>
      <c r="H6" s="1173"/>
      <c r="I6" s="1173"/>
      <c r="J6" s="1173"/>
      <c r="K6" s="1173"/>
      <c r="L6" s="1173"/>
    </row>
    <row r="7" spans="1:12" ht="51">
      <c r="A7" s="117" t="s">
        <v>333</v>
      </c>
      <c r="B7" s="84" t="s">
        <v>3</v>
      </c>
      <c r="C7" s="237" t="s">
        <v>160</v>
      </c>
      <c r="D7" s="237" t="s">
        <v>648</v>
      </c>
      <c r="E7" s="237" t="s">
        <v>643</v>
      </c>
      <c r="F7" s="85" t="s">
        <v>1057</v>
      </c>
      <c r="G7" s="85" t="s">
        <v>2</v>
      </c>
      <c r="H7" s="85" t="s">
        <v>3</v>
      </c>
      <c r="I7" s="237" t="s">
        <v>160</v>
      </c>
      <c r="J7" s="237" t="s">
        <v>648</v>
      </c>
      <c r="K7" s="237" t="s">
        <v>643</v>
      </c>
      <c r="L7" s="85" t="s">
        <v>657</v>
      </c>
    </row>
    <row r="8" spans="1:12" ht="45" customHeight="1">
      <c r="A8" s="86" t="s">
        <v>336</v>
      </c>
      <c r="B8" s="87" t="s">
        <v>337</v>
      </c>
      <c r="C8" s="244">
        <f>Normatíva2022!E52</f>
        <v>183368881</v>
      </c>
      <c r="D8" s="244">
        <f>Normatíva2022!F52</f>
        <v>185908551</v>
      </c>
      <c r="E8" s="244">
        <f>Normatíva2022!G52</f>
        <v>72715986</v>
      </c>
      <c r="F8" s="223">
        <f>Normatíva2022!H52</f>
        <v>0.39655576018921118</v>
      </c>
      <c r="G8" s="118" t="s">
        <v>338</v>
      </c>
      <c r="H8" s="91" t="s">
        <v>39</v>
      </c>
      <c r="I8" s="238">
        <f>'Kiadások összesen'!C39</f>
        <v>30085196</v>
      </c>
      <c r="J8" s="238">
        <f>'Kiadások összesen'!C40</f>
        <v>30440496</v>
      </c>
      <c r="K8" s="4">
        <f>'Kiadások összesen'!C41</f>
        <v>12621485</v>
      </c>
      <c r="L8" s="220">
        <f>K8/J8</f>
        <v>0.4146280993581708</v>
      </c>
    </row>
    <row r="9" spans="1:12" ht="46.5" customHeight="1">
      <c r="A9" s="86" t="s">
        <v>339</v>
      </c>
      <c r="B9" s="87" t="s">
        <v>220</v>
      </c>
      <c r="C9" s="244">
        <f>Normatíva2022!E61</f>
        <v>15070800</v>
      </c>
      <c r="D9" s="244">
        <f>Normatíva2022!F61</f>
        <v>19329005</v>
      </c>
      <c r="E9" s="244">
        <f>Normatíva2022!G61</f>
        <v>7328333</v>
      </c>
      <c r="F9" s="223">
        <f>Normatíva2022!H61</f>
        <v>0.48626038431934604</v>
      </c>
      <c r="G9" s="118" t="s">
        <v>340</v>
      </c>
      <c r="H9" s="93" t="s">
        <v>41</v>
      </c>
      <c r="I9" s="238">
        <f>'Kiadások összesen'!D39</f>
        <v>3771665.8</v>
      </c>
      <c r="J9" s="238">
        <f>'Kiadások összesen'!D40</f>
        <v>3771665.8</v>
      </c>
      <c r="K9" s="4">
        <f>'Kiadások összesen'!D41</f>
        <v>1684234</v>
      </c>
      <c r="L9" s="220">
        <f t="shared" ref="L9:L16" si="0">K9/J9</f>
        <v>0.44654910835419198</v>
      </c>
    </row>
    <row r="10" spans="1:12" ht="38.25">
      <c r="A10" s="86" t="s">
        <v>341</v>
      </c>
      <c r="B10" s="87" t="s">
        <v>342</v>
      </c>
      <c r="C10" s="245">
        <f>SUM(C8:C9)</f>
        <v>198439681</v>
      </c>
      <c r="D10" s="1582">
        <f t="shared" ref="D10:E10" si="1">SUM(D8:D9)</f>
        <v>205237556</v>
      </c>
      <c r="E10" s="245">
        <f t="shared" si="1"/>
        <v>80044319</v>
      </c>
      <c r="F10" s="224">
        <f>E10/D10</f>
        <v>0.39000814743671963</v>
      </c>
      <c r="G10" s="118" t="s">
        <v>343</v>
      </c>
      <c r="H10" s="91" t="s">
        <v>112</v>
      </c>
      <c r="I10" s="238">
        <f>'Kiadások összesen'!E39</f>
        <v>73483528</v>
      </c>
      <c r="J10" s="238">
        <f>'Kiadások összesen'!E40</f>
        <v>74083528</v>
      </c>
      <c r="K10" s="4">
        <f>'Kiadások összesen'!E41</f>
        <v>23361533</v>
      </c>
      <c r="L10" s="220">
        <f t="shared" si="0"/>
        <v>0.31534044922914578</v>
      </c>
    </row>
    <row r="11" spans="1:12" ht="38.25">
      <c r="A11" s="86" t="s">
        <v>344</v>
      </c>
      <c r="B11" s="87" t="s">
        <v>345</v>
      </c>
      <c r="C11" s="245"/>
      <c r="D11" s="245">
        <f>Normatíva2022!F62</f>
        <v>0</v>
      </c>
      <c r="E11" s="245">
        <f>Normatíva2022!G62</f>
        <v>52011992</v>
      </c>
      <c r="F11" s="224" t="e">
        <f>E11/D11</f>
        <v>#DIV/0!</v>
      </c>
      <c r="G11" s="95" t="s">
        <v>346</v>
      </c>
      <c r="H11" s="87" t="s">
        <v>347</v>
      </c>
      <c r="I11" s="238">
        <f>'Kiadások összesen'!F39</f>
        <v>9490000</v>
      </c>
      <c r="J11" s="238">
        <f>'Kiadások összesen'!F40</f>
        <v>9490000</v>
      </c>
      <c r="K11" s="4">
        <f>'Kiadások összesen'!F41</f>
        <v>1373200</v>
      </c>
      <c r="L11" s="220">
        <f t="shared" si="0"/>
        <v>0.14469968387776608</v>
      </c>
    </row>
    <row r="12" spans="1:12" ht="25.5">
      <c r="A12" s="86" t="s">
        <v>348</v>
      </c>
      <c r="B12" s="87" t="s">
        <v>349</v>
      </c>
      <c r="C12" s="245">
        <f>'Közhatalmi bevétel'!C21</f>
        <v>40720000</v>
      </c>
      <c r="D12" s="245">
        <f>'Közhatalmi bevétel'!D21</f>
        <v>40720000</v>
      </c>
      <c r="E12" s="245">
        <f>'Közhatalmi bevétel'!E21</f>
        <v>19040055</v>
      </c>
      <c r="F12" s="224">
        <f>'Közhatalmi bevétel'!F21</f>
        <v>0.467584847740668</v>
      </c>
      <c r="G12" s="86" t="s">
        <v>350</v>
      </c>
      <c r="H12" s="87" t="s">
        <v>351</v>
      </c>
      <c r="I12" s="238">
        <f>'Önkormányzat Átadott pénzeszköz'!D36</f>
        <v>20335000</v>
      </c>
      <c r="J12" s="238">
        <f>'Kiadások összesen'!G40</f>
        <v>26777575</v>
      </c>
      <c r="K12" s="4">
        <f>'Kiadások összesen'!G41</f>
        <v>15802975</v>
      </c>
      <c r="L12" s="220">
        <f t="shared" si="0"/>
        <v>0.59015706239269239</v>
      </c>
    </row>
    <row r="13" spans="1:12">
      <c r="A13" s="86"/>
      <c r="B13" s="87"/>
      <c r="C13" s="245"/>
      <c r="D13" s="245"/>
      <c r="E13" s="245"/>
      <c r="F13" s="94"/>
      <c r="G13" s="86" t="s">
        <v>525</v>
      </c>
      <c r="H13" s="87" t="s">
        <v>526</v>
      </c>
      <c r="I13" s="1581">
        <f>'Kiadások összesen'!K36</f>
        <v>11679263</v>
      </c>
      <c r="J13" s="1581">
        <f>'Kiadások összesen'!K37</f>
        <v>11679263</v>
      </c>
      <c r="K13" s="283"/>
      <c r="L13" s="220"/>
    </row>
    <row r="14" spans="1:12" ht="25.5">
      <c r="A14" s="86" t="s">
        <v>352</v>
      </c>
      <c r="B14" s="87" t="s">
        <v>353</v>
      </c>
      <c r="C14" s="244">
        <f>'Saját bevételek'!E24</f>
        <v>20733556</v>
      </c>
      <c r="D14" s="244">
        <f>'Saját bevételek'!F24</f>
        <v>20733556</v>
      </c>
      <c r="E14" s="244">
        <f>'Saját bevételek'!G24</f>
        <v>14769347</v>
      </c>
      <c r="F14" s="223">
        <f>'Saját bevételek'!H24</f>
        <v>0.71234027583112125</v>
      </c>
      <c r="G14" s="86" t="s">
        <v>127</v>
      </c>
      <c r="H14" s="87" t="s">
        <v>128</v>
      </c>
      <c r="I14" s="238">
        <f>'Kiadások összesen'!H39</f>
        <v>206674193</v>
      </c>
      <c r="J14" s="238">
        <f>'Önkormányzat Beruházás'!C36</f>
        <v>184639944</v>
      </c>
      <c r="K14" s="4">
        <f>'Önkormányzat Beruházás'!D36</f>
        <v>5080</v>
      </c>
      <c r="L14" s="220">
        <f>K14/I14</f>
        <v>2.4579750022297171E-5</v>
      </c>
    </row>
    <row r="15" spans="1:12" ht="25.5">
      <c r="A15" s="86" t="s">
        <v>354</v>
      </c>
      <c r="B15" s="87" t="s">
        <v>355</v>
      </c>
      <c r="C15" s="245"/>
      <c r="D15" s="245"/>
      <c r="E15" s="245"/>
      <c r="F15" s="96"/>
      <c r="G15" s="86" t="s">
        <v>314</v>
      </c>
      <c r="H15" s="87" t="s">
        <v>138</v>
      </c>
      <c r="I15" s="238">
        <f>'Kiadások összesen'!I39</f>
        <v>66696590</v>
      </c>
      <c r="J15" s="238">
        <f>'Kiadások összesen'!I40</f>
        <v>59196590</v>
      </c>
      <c r="K15" s="4">
        <f>'Önkormányzat Beruházás'!D68</f>
        <v>5034322</v>
      </c>
      <c r="L15" s="220">
        <f>K15/I15</f>
        <v>7.5480950375423989E-2</v>
      </c>
    </row>
    <row r="16" spans="1:12" ht="30">
      <c r="A16" s="86" t="s">
        <v>356</v>
      </c>
      <c r="B16" s="87" t="s">
        <v>357</v>
      </c>
      <c r="C16" s="245"/>
      <c r="D16" s="245"/>
      <c r="E16" s="245"/>
      <c r="F16" s="96"/>
      <c r="G16" s="2" t="s">
        <v>524</v>
      </c>
      <c r="H16" s="1"/>
      <c r="I16" s="239">
        <f>'Kiadások összesen'!J39</f>
        <v>0</v>
      </c>
      <c r="J16" s="239">
        <f>'Kiadások összesen'!J40</f>
        <v>0</v>
      </c>
      <c r="K16" s="4">
        <f>'Kiadások összesen'!J41</f>
        <v>0</v>
      </c>
      <c r="L16" s="220" t="e">
        <f t="shared" si="0"/>
        <v>#DIV/0!</v>
      </c>
    </row>
    <row r="17" spans="1:12">
      <c r="A17" s="99" t="s">
        <v>358</v>
      </c>
      <c r="B17" s="100" t="s">
        <v>359</v>
      </c>
      <c r="C17" s="240">
        <f>SUM(C10:C16)</f>
        <v>259893237</v>
      </c>
      <c r="D17" s="240">
        <f t="shared" ref="D17" si="2">SUM(D10:D16)</f>
        <v>266691112</v>
      </c>
      <c r="E17" s="240">
        <f>SUM(E10:E16)</f>
        <v>165865713</v>
      </c>
      <c r="F17" s="225">
        <f>E17/D17</f>
        <v>0.62193941056423363</v>
      </c>
      <c r="G17" s="99" t="s">
        <v>360</v>
      </c>
      <c r="H17" s="110"/>
      <c r="I17" s="240">
        <f>SUM(I8:I16)</f>
        <v>422215435.80000001</v>
      </c>
      <c r="J17" s="240">
        <f t="shared" ref="J17:K17" si="3">SUM(J8:J16)</f>
        <v>400079061.80000001</v>
      </c>
      <c r="K17" s="240">
        <f t="shared" si="3"/>
        <v>59882829</v>
      </c>
      <c r="L17" s="225">
        <f>K17/J17</f>
        <v>0.14967748807093409</v>
      </c>
    </row>
    <row r="18" spans="1:12" ht="38.25">
      <c r="A18" s="86" t="s">
        <v>361</v>
      </c>
      <c r="B18" s="87" t="s">
        <v>362</v>
      </c>
      <c r="C18" s="363">
        <v>286233503</v>
      </c>
      <c r="D18" s="363">
        <v>258612724</v>
      </c>
      <c r="E18" s="363"/>
      <c r="F18" s="224">
        <f>E18/D18</f>
        <v>0</v>
      </c>
      <c r="G18" s="1"/>
      <c r="H18" s="1"/>
      <c r="I18" s="4"/>
      <c r="J18" s="4"/>
      <c r="K18" s="4"/>
      <c r="L18" s="1"/>
    </row>
    <row r="19" spans="1:12" ht="25.5">
      <c r="A19" s="86" t="s">
        <v>1062</v>
      </c>
      <c r="B19" s="87" t="s">
        <v>1063</v>
      </c>
      <c r="C19" s="363">
        <v>0</v>
      </c>
      <c r="D19" s="363">
        <v>171934</v>
      </c>
      <c r="E19" s="363">
        <f>SUM(E18)</f>
        <v>0</v>
      </c>
      <c r="F19" s="224">
        <f t="shared" ref="F19:F21" si="4">E19/D19</f>
        <v>0</v>
      </c>
      <c r="G19" s="226" t="s">
        <v>363</v>
      </c>
      <c r="H19" s="107" t="s">
        <v>364</v>
      </c>
      <c r="I19" s="241">
        <f>'Kiadások összesen'!L39</f>
        <v>4500000</v>
      </c>
      <c r="J19" s="4">
        <f>'Kiadások összesen'!L40</f>
        <v>5985404</v>
      </c>
      <c r="K19" s="4">
        <f>'Kiadások összesen'!L41</f>
        <v>0</v>
      </c>
      <c r="L19" s="219">
        <f>K19/J19</f>
        <v>0</v>
      </c>
    </row>
    <row r="20" spans="1:12" ht="31.5">
      <c r="A20" s="109" t="s">
        <v>328</v>
      </c>
      <c r="B20" s="87" t="s">
        <v>147</v>
      </c>
      <c r="C20" s="363">
        <v>0</v>
      </c>
      <c r="D20" s="245">
        <f t="shared" ref="D20:E22" si="5">C20</f>
        <v>0</v>
      </c>
      <c r="E20" s="245">
        <f t="shared" si="5"/>
        <v>0</v>
      </c>
      <c r="F20" s="224"/>
      <c r="G20" s="226" t="s">
        <v>365</v>
      </c>
      <c r="H20" s="107" t="s">
        <v>366</v>
      </c>
      <c r="I20" s="241">
        <f>'Kiadások összesen'!M39</f>
        <v>119411303.64</v>
      </c>
      <c r="J20" s="4">
        <f>'Kiadások összesen'!M40</f>
        <v>119411303.64</v>
      </c>
      <c r="K20" s="4">
        <f>'Kiadások összesen'!M41</f>
        <v>22669775</v>
      </c>
      <c r="L20" s="220">
        <f>K20/J20</f>
        <v>0.18984613942700609</v>
      </c>
    </row>
    <row r="21" spans="1:12" ht="25.5">
      <c r="A21" s="86" t="s">
        <v>367</v>
      </c>
      <c r="B21" s="87" t="s">
        <v>368</v>
      </c>
      <c r="C21" s="363">
        <f>SUM(C18:C20)</f>
        <v>286233503</v>
      </c>
      <c r="D21" s="245">
        <f>SUM(D18:D20)</f>
        <v>258784658</v>
      </c>
      <c r="E21" s="245">
        <f>E19</f>
        <v>0</v>
      </c>
      <c r="F21" s="224">
        <f t="shared" si="4"/>
        <v>0</v>
      </c>
      <c r="G21" s="226" t="s">
        <v>369</v>
      </c>
      <c r="H21" s="107" t="s">
        <v>370</v>
      </c>
      <c r="I21" s="241">
        <f t="shared" ref="I21:K21" si="6">SUM(I19:I20)</f>
        <v>123911303.64</v>
      </c>
      <c r="J21" s="241">
        <f t="shared" si="6"/>
        <v>125396707.64</v>
      </c>
      <c r="K21" s="241">
        <f t="shared" si="6"/>
        <v>22669775</v>
      </c>
      <c r="L21" s="220">
        <f>K21/J21</f>
        <v>0.18078445141544228</v>
      </c>
    </row>
    <row r="22" spans="1:12" ht="25.5">
      <c r="A22" s="86" t="s">
        <v>540</v>
      </c>
      <c r="B22" s="87"/>
      <c r="C22" s="245"/>
      <c r="D22" s="245">
        <f t="shared" si="5"/>
        <v>0</v>
      </c>
      <c r="E22" s="245">
        <f t="shared" si="5"/>
        <v>0</v>
      </c>
      <c r="F22" s="224"/>
      <c r="G22" s="226"/>
      <c r="H22" s="107"/>
      <c r="I22" s="241"/>
      <c r="J22" s="4"/>
      <c r="K22" s="4"/>
      <c r="L22" s="1"/>
    </row>
    <row r="23" spans="1:12">
      <c r="A23" s="99" t="s">
        <v>371</v>
      </c>
      <c r="B23" s="110" t="s">
        <v>372</v>
      </c>
      <c r="C23" s="240">
        <f>SUM(C21,C22)</f>
        <v>286233503</v>
      </c>
      <c r="D23" s="240">
        <f t="shared" ref="D23:E23" si="7">SUM(D21,D22)</f>
        <v>258784658</v>
      </c>
      <c r="E23" s="240">
        <f t="shared" si="7"/>
        <v>0</v>
      </c>
      <c r="F23" s="225">
        <f>E23/D23</f>
        <v>0</v>
      </c>
      <c r="G23" s="99" t="s">
        <v>373</v>
      </c>
      <c r="H23" s="110" t="s">
        <v>374</v>
      </c>
      <c r="I23" s="240">
        <f t="shared" ref="I23:K23" si="8">SUM(I21)</f>
        <v>123911303.64</v>
      </c>
      <c r="J23" s="240">
        <f t="shared" si="8"/>
        <v>125396707.64</v>
      </c>
      <c r="K23" s="240">
        <f t="shared" si="8"/>
        <v>22669775</v>
      </c>
      <c r="L23" s="225">
        <f>K23/J23</f>
        <v>0.18078445141544228</v>
      </c>
    </row>
    <row r="24" spans="1:12" ht="15.75">
      <c r="A24" s="113" t="s">
        <v>375</v>
      </c>
      <c r="B24" s="110"/>
      <c r="C24" s="246">
        <f t="shared" ref="C24:E24" si="9">SUM(C23,C17)</f>
        <v>546126740</v>
      </c>
      <c r="D24" s="246">
        <f t="shared" si="9"/>
        <v>525475770</v>
      </c>
      <c r="E24" s="246">
        <f t="shared" si="9"/>
        <v>165865713</v>
      </c>
      <c r="F24" s="249">
        <f>E24/D24</f>
        <v>0.31564864161101092</v>
      </c>
      <c r="G24" s="113" t="s">
        <v>376</v>
      </c>
      <c r="H24" s="110"/>
      <c r="I24" s="242">
        <f>I17+I23</f>
        <v>546126739.44000006</v>
      </c>
      <c r="J24" s="242">
        <f t="shared" ref="J24:K24" si="10">J17+J23</f>
        <v>525475769.44</v>
      </c>
      <c r="K24" s="242">
        <f t="shared" si="10"/>
        <v>82552604</v>
      </c>
      <c r="L24" s="236">
        <f>K24/J24</f>
        <v>0.1571006862751757</v>
      </c>
    </row>
    <row r="25" spans="1:12">
      <c r="A25" s="229" t="s">
        <v>377</v>
      </c>
      <c r="B25" s="229"/>
      <c r="C25" s="243">
        <f>C24-I24</f>
        <v>0.55999994277954102</v>
      </c>
      <c r="D25" s="243">
        <f t="shared" ref="D25:E25" si="11">D24-J24</f>
        <v>0.56000000238418579</v>
      </c>
      <c r="E25" s="243">
        <f t="shared" si="11"/>
        <v>83313109</v>
      </c>
      <c r="F25" s="230"/>
      <c r="G25" s="229"/>
      <c r="H25" s="229"/>
      <c r="I25" s="243">
        <f>I24-C24</f>
        <v>-0.55999994277954102</v>
      </c>
      <c r="K25" s="6">
        <f>K24-E24</f>
        <v>-83313109</v>
      </c>
    </row>
    <row r="26" spans="1:12">
      <c r="I26" s="6" t="s">
        <v>833</v>
      </c>
    </row>
  </sheetData>
  <mergeCells count="3">
    <mergeCell ref="A3:I4"/>
    <mergeCell ref="G6:L6"/>
    <mergeCell ref="A6:F6"/>
  </mergeCells>
  <pageMargins left="0.70866141732283472" right="0.70866141732283472" top="0.74803149606299213" bottom="0.74803149606299213" header="0.31496062992125984" footer="0.31496062992125984"/>
  <pageSetup paperSize="8" scale="74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2"/>
    <pageSetUpPr fitToPage="1"/>
  </sheetPr>
  <dimension ref="A1:Q20"/>
  <sheetViews>
    <sheetView zoomScaleNormal="100" zoomScaleSheetLayoutView="54" workbookViewId="0">
      <selection activeCell="M14" sqref="M14"/>
    </sheetView>
  </sheetViews>
  <sheetFormatPr defaultRowHeight="15"/>
  <cols>
    <col min="1" max="1" width="39.42578125" style="945" customWidth="1"/>
    <col min="2" max="2" width="17.28515625" style="945" customWidth="1"/>
    <col min="3" max="7" width="21.7109375" style="945" customWidth="1"/>
    <col min="8" max="12" width="22.5703125" style="945" customWidth="1"/>
    <col min="13" max="13" width="26.28515625" style="945" customWidth="1"/>
    <col min="14" max="14" width="23.140625" style="945" customWidth="1"/>
    <col min="15" max="15" width="18.140625" style="945" bestFit="1" customWidth="1"/>
    <col min="16" max="16" width="15.42578125" style="945" bestFit="1" customWidth="1"/>
    <col min="17" max="17" width="16.42578125" style="945" customWidth="1"/>
    <col min="18" max="16384" width="9.140625" style="945"/>
  </cols>
  <sheetData>
    <row r="1" spans="1:17">
      <c r="A1" s="1412" t="s">
        <v>531</v>
      </c>
      <c r="B1" s="1412"/>
      <c r="C1" s="1412"/>
      <c r="D1" s="1412"/>
      <c r="E1" s="1412"/>
      <c r="F1" s="1412"/>
      <c r="G1" s="1412"/>
      <c r="H1" s="1412"/>
      <c r="I1" s="1412"/>
      <c r="J1" s="1412"/>
      <c r="K1" s="1412"/>
      <c r="L1" s="1412"/>
      <c r="M1" s="1412"/>
    </row>
    <row r="2" spans="1:17">
      <c r="C2" s="1117"/>
      <c r="D2" s="1117"/>
      <c r="E2" s="1117"/>
      <c r="F2" s="1117"/>
      <c r="G2" s="1117"/>
      <c r="H2" s="1117"/>
      <c r="I2" s="1117"/>
      <c r="J2" s="1117"/>
      <c r="K2" s="1117"/>
      <c r="L2" s="1117"/>
      <c r="M2" s="1117"/>
    </row>
    <row r="3" spans="1:17">
      <c r="A3" s="1413" t="s">
        <v>909</v>
      </c>
      <c r="B3" s="1413"/>
      <c r="C3" s="1413"/>
      <c r="D3" s="1413"/>
      <c r="E3" s="1413"/>
      <c r="F3" s="1413"/>
      <c r="G3" s="1413"/>
      <c r="H3" s="1413"/>
      <c r="I3" s="1413"/>
      <c r="J3" s="1413"/>
      <c r="K3" s="1413"/>
      <c r="L3" s="1413"/>
      <c r="M3" s="1413"/>
    </row>
    <row r="4" spans="1:17" ht="15.75" thickBot="1">
      <c r="M4" s="1118" t="s">
        <v>307</v>
      </c>
    </row>
    <row r="5" spans="1:17">
      <c r="A5" s="1414" t="s">
        <v>315</v>
      </c>
      <c r="B5" s="1416" t="s">
        <v>316</v>
      </c>
      <c r="C5" s="1401" t="s">
        <v>0</v>
      </c>
      <c r="D5" s="1402"/>
      <c r="E5" s="1402"/>
      <c r="F5" s="1402"/>
      <c r="G5" s="1403"/>
      <c r="H5" s="1406" t="s">
        <v>330</v>
      </c>
      <c r="I5" s="1407"/>
      <c r="J5" s="1407"/>
      <c r="K5" s="1407"/>
      <c r="L5" s="1407"/>
      <c r="M5" s="1410" t="s">
        <v>4</v>
      </c>
      <c r="N5" s="1410"/>
      <c r="O5" s="1410"/>
      <c r="P5" s="1410"/>
      <c r="Q5" s="1410"/>
    </row>
    <row r="6" spans="1:17" ht="15" customHeight="1">
      <c r="A6" s="1415"/>
      <c r="B6" s="1417"/>
      <c r="C6" s="1419" t="s">
        <v>841</v>
      </c>
      <c r="D6" s="1404" t="s">
        <v>838</v>
      </c>
      <c r="E6" s="1404" t="s">
        <v>642</v>
      </c>
      <c r="F6" s="1404" t="s">
        <v>637</v>
      </c>
      <c r="G6" s="1404" t="s">
        <v>665</v>
      </c>
      <c r="H6" s="1420" t="s">
        <v>910</v>
      </c>
      <c r="I6" s="1422" t="s">
        <v>838</v>
      </c>
      <c r="J6" s="1422" t="s">
        <v>642</v>
      </c>
      <c r="K6" s="1119" t="s">
        <v>642</v>
      </c>
      <c r="L6" s="1408" t="s">
        <v>665</v>
      </c>
      <c r="M6" s="1421" t="s">
        <v>910</v>
      </c>
      <c r="N6" s="1421" t="s">
        <v>838</v>
      </c>
      <c r="O6" s="1421" t="s">
        <v>642</v>
      </c>
      <c r="P6" s="1410" t="s">
        <v>637</v>
      </c>
      <c r="Q6" s="1411" t="s">
        <v>665</v>
      </c>
    </row>
    <row r="7" spans="1:17">
      <c r="A7" s="1415"/>
      <c r="B7" s="1418"/>
      <c r="C7" s="1419"/>
      <c r="D7" s="1405"/>
      <c r="E7" s="1405"/>
      <c r="F7" s="1405"/>
      <c r="G7" s="1405"/>
      <c r="H7" s="1420"/>
      <c r="I7" s="1423"/>
      <c r="J7" s="1423"/>
      <c r="K7" s="1120" t="s">
        <v>640</v>
      </c>
      <c r="L7" s="1409"/>
      <c r="M7" s="1421"/>
      <c r="N7" s="1421"/>
      <c r="O7" s="1421"/>
      <c r="P7" s="1410"/>
      <c r="Q7" s="1411"/>
    </row>
    <row r="8" spans="1:17">
      <c r="A8" s="1121" t="s">
        <v>317</v>
      </c>
      <c r="B8" s="1122" t="s">
        <v>318</v>
      </c>
      <c r="C8" s="1123">
        <f>'Hivatal 2022 évi elemi költésgv'!Y25</f>
        <v>35210569</v>
      </c>
      <c r="D8" s="1123">
        <f>'Hivatal 2022 évi elemi költésgv'!Z25</f>
        <v>35768667</v>
      </c>
      <c r="E8" s="1123">
        <f>'Hivatal 2022 évi elemi költésgv'!AA25</f>
        <v>15810138</v>
      </c>
      <c r="F8" s="1124">
        <f>E8/D8</f>
        <v>0.44201082472545034</v>
      </c>
      <c r="G8" s="1123">
        <f>'Hivatal 2022 évi elemi költésgv'!AB25</f>
        <v>19958529</v>
      </c>
      <c r="H8" s="1123">
        <f>Óvoda!AG25</f>
        <v>51024744</v>
      </c>
      <c r="I8" s="1123">
        <f>Óvoda!AH25</f>
        <v>51189928</v>
      </c>
      <c r="J8" s="1123">
        <f>Óvoda!AM25</f>
        <v>21112442</v>
      </c>
      <c r="K8" s="1125">
        <f>J8/I8</f>
        <v>0.41243351621826857</v>
      </c>
      <c r="L8" s="1123">
        <f>Óvoda!AN25</f>
        <v>30077486</v>
      </c>
      <c r="M8" s="1126">
        <f>SUM(C8,H8,)</f>
        <v>86235313</v>
      </c>
      <c r="N8" s="1126">
        <f t="shared" ref="M8:O12" si="0">SUM(D8,I8,)</f>
        <v>86958595</v>
      </c>
      <c r="O8" s="1126">
        <f>SUM(E8,J8,)</f>
        <v>36922580</v>
      </c>
      <c r="P8" s="1125">
        <f>O8/N8</f>
        <v>0.42459954648531295</v>
      </c>
      <c r="Q8" s="1127">
        <f>N8-O8</f>
        <v>50036015</v>
      </c>
    </row>
    <row r="9" spans="1:17">
      <c r="A9" s="1128" t="s">
        <v>319</v>
      </c>
      <c r="B9" s="1129" t="s">
        <v>318</v>
      </c>
      <c r="C9" s="1123">
        <f>'Hivatal 2022 évi elemi költésgv'!Y26</f>
        <v>4178014</v>
      </c>
      <c r="D9" s="1123">
        <f>'Hivatal 2022 évi elemi költésgv'!Z26</f>
        <v>4178014</v>
      </c>
      <c r="E9" s="1123">
        <f>'Hivatal 2022 évi elemi költésgv'!AA26</f>
        <v>2252567</v>
      </c>
      <c r="F9" s="1124">
        <f t="shared" ref="F9:F11" si="1">E9/D9</f>
        <v>0.53914778648420036</v>
      </c>
      <c r="G9" s="1123">
        <f>'Hivatal 2022 évi elemi költésgv'!AB26</f>
        <v>1925447</v>
      </c>
      <c r="H9" s="1123">
        <f>Óvoda!AG26</f>
        <v>6227911</v>
      </c>
      <c r="I9" s="1123">
        <f>Óvoda!AH26</f>
        <v>6227911</v>
      </c>
      <c r="J9" s="1123">
        <f>Óvoda!AM26</f>
        <v>3357743</v>
      </c>
      <c r="K9" s="1125">
        <f t="shared" ref="K9:K12" si="2">J9/I9</f>
        <v>0.53914434551168122</v>
      </c>
      <c r="L9" s="1123">
        <f>Óvoda!AN26</f>
        <v>2870168</v>
      </c>
      <c r="M9" s="1126">
        <f t="shared" si="0"/>
        <v>10405925</v>
      </c>
      <c r="N9" s="1126">
        <f t="shared" si="0"/>
        <v>10405925</v>
      </c>
      <c r="O9" s="1126">
        <f t="shared" si="0"/>
        <v>5610310</v>
      </c>
      <c r="P9" s="1125">
        <f t="shared" ref="P9:P10" si="3">O9/N9</f>
        <v>0.53914572707375841</v>
      </c>
      <c r="Q9" s="1127">
        <f t="shared" ref="Q9:Q12" si="4">N9-O9</f>
        <v>4795615</v>
      </c>
    </row>
    <row r="10" spans="1:17">
      <c r="A10" s="1121" t="s">
        <v>320</v>
      </c>
      <c r="B10" s="1122" t="s">
        <v>318</v>
      </c>
      <c r="C10" s="1123">
        <f>'Hivatal 2022 évi elemi költésgv'!Y94</f>
        <v>8209066</v>
      </c>
      <c r="D10" s="1123">
        <f>'Hivatal 2022 évi elemi költésgv'!Z94</f>
        <v>8982738</v>
      </c>
      <c r="E10" s="1123">
        <f>'Hivatal 2022 évi elemi költésgv'!AA94</f>
        <v>4817975</v>
      </c>
      <c r="F10" s="1124">
        <f t="shared" si="1"/>
        <v>0.53635929267891369</v>
      </c>
      <c r="G10" s="1123">
        <f>'Hivatal 2022 évi elemi költésgv'!AB94</f>
        <v>4164763</v>
      </c>
      <c r="H10" s="1123">
        <f>Óvoda!AG82</f>
        <v>6589550</v>
      </c>
      <c r="I10" s="1123">
        <f>Óvoda!AH82</f>
        <v>6424366</v>
      </c>
      <c r="J10" s="1123">
        <f>Óvoda!AM82</f>
        <v>2547198</v>
      </c>
      <c r="K10" s="1125">
        <f t="shared" si="2"/>
        <v>0.39649017506163253</v>
      </c>
      <c r="L10" s="1123">
        <f>Óvoda!AN82</f>
        <v>3877168</v>
      </c>
      <c r="M10" s="1126">
        <f t="shared" si="0"/>
        <v>14798616</v>
      </c>
      <c r="N10" s="1126">
        <f t="shared" si="0"/>
        <v>15407104</v>
      </c>
      <c r="O10" s="1126">
        <f t="shared" si="0"/>
        <v>7365173</v>
      </c>
      <c r="P10" s="1125">
        <f t="shared" si="3"/>
        <v>0.47803746894938853</v>
      </c>
      <c r="Q10" s="1127">
        <f t="shared" si="4"/>
        <v>8041931</v>
      </c>
    </row>
    <row r="11" spans="1:17">
      <c r="A11" s="1130" t="s">
        <v>321</v>
      </c>
      <c r="B11" s="1131" t="s">
        <v>318</v>
      </c>
      <c r="C11" s="1123">
        <f>'Hivatal 2022 évi elemi költésgv'!Y107</f>
        <v>3810000</v>
      </c>
      <c r="D11" s="1123">
        <f>'Hivatal 2022 évi elemi költésgv'!Z107</f>
        <v>4278899</v>
      </c>
      <c r="E11" s="1123">
        <f>'Hivatal 2022 évi elemi költésgv'!AA107</f>
        <v>139450</v>
      </c>
      <c r="F11" s="1124">
        <f t="shared" si="1"/>
        <v>3.2590159290976486E-2</v>
      </c>
      <c r="G11" s="1123">
        <f>'Hivatal 2022 évi elemi költésgv'!AB107</f>
        <v>4139449</v>
      </c>
      <c r="H11" s="1123">
        <f>Óvoda!AG102</f>
        <v>4161449.64</v>
      </c>
      <c r="I11" s="1123">
        <f>Óvoda!AH102</f>
        <v>5531900.6399999997</v>
      </c>
      <c r="J11" s="1123">
        <f>Óvoda!AM102</f>
        <v>0</v>
      </c>
      <c r="K11" s="1125">
        <f t="shared" si="2"/>
        <v>0</v>
      </c>
      <c r="L11" s="1123">
        <f>Óvoda!AN102</f>
        <v>5531900.6399999997</v>
      </c>
      <c r="M11" s="1126">
        <f t="shared" si="0"/>
        <v>7971449.6400000006</v>
      </c>
      <c r="N11" s="1126">
        <f t="shared" si="0"/>
        <v>9810799.6400000006</v>
      </c>
      <c r="O11" s="1126">
        <f t="shared" si="0"/>
        <v>139450</v>
      </c>
      <c r="P11" s="1125"/>
      <c r="Q11" s="1127">
        <f t="shared" si="4"/>
        <v>9671349.6400000006</v>
      </c>
    </row>
    <row r="12" spans="1:17">
      <c r="A12" s="1130" t="s">
        <v>322</v>
      </c>
      <c r="B12" s="1131" t="s">
        <v>318</v>
      </c>
      <c r="C12" s="1123"/>
      <c r="D12" s="1123"/>
      <c r="E12" s="1123"/>
      <c r="F12" s="1124"/>
      <c r="G12" s="1123"/>
      <c r="H12" s="1123">
        <f>Óvoda!AG107</f>
        <v>0</v>
      </c>
      <c r="I12" s="1123">
        <f>Óvoda!AH107</f>
        <v>0</v>
      </c>
      <c r="J12" s="1123">
        <f>Óvoda!AM107</f>
        <v>0</v>
      </c>
      <c r="K12" s="1125" t="e">
        <f t="shared" si="2"/>
        <v>#DIV/0!</v>
      </c>
      <c r="L12" s="1123">
        <f>Óvoda!AN107</f>
        <v>0</v>
      </c>
      <c r="M12" s="1126">
        <f t="shared" si="0"/>
        <v>0</v>
      </c>
      <c r="N12" s="1126">
        <f t="shared" si="0"/>
        <v>0</v>
      </c>
      <c r="O12" s="1126">
        <f t="shared" si="0"/>
        <v>0</v>
      </c>
      <c r="P12" s="1125"/>
      <c r="Q12" s="1127">
        <f t="shared" si="4"/>
        <v>0</v>
      </c>
    </row>
    <row r="13" spans="1:17">
      <c r="A13" s="1132" t="s">
        <v>323</v>
      </c>
      <c r="B13" s="1133" t="s">
        <v>318</v>
      </c>
      <c r="C13" s="1134">
        <f t="shared" ref="C13:M13" si="5">SUM(C8:C12)</f>
        <v>51407649</v>
      </c>
      <c r="D13" s="1134">
        <f t="shared" ref="D13:G13" si="6">SUM(D8:D12)</f>
        <v>53208318</v>
      </c>
      <c r="E13" s="1134">
        <f t="shared" si="6"/>
        <v>23020130</v>
      </c>
      <c r="F13" s="1135">
        <f>E13/D13</f>
        <v>0.43264156555371663</v>
      </c>
      <c r="G13" s="1134">
        <f t="shared" si="6"/>
        <v>30188188</v>
      </c>
      <c r="H13" s="1136">
        <f t="shared" si="5"/>
        <v>68003654.640000001</v>
      </c>
      <c r="I13" s="1136">
        <f t="shared" ref="I13:J13" si="7">SUM(I8:I12)</f>
        <v>69374105.640000001</v>
      </c>
      <c r="J13" s="1136">
        <f t="shared" si="7"/>
        <v>27017383</v>
      </c>
      <c r="K13" s="1137">
        <f>J13/I13</f>
        <v>0.38944477555069495</v>
      </c>
      <c r="L13" s="1138">
        <f t="shared" ref="L13" si="8">SUM(L8:L12)</f>
        <v>42356722.640000001</v>
      </c>
      <c r="M13" s="1139">
        <f>SUM(M8:M12)</f>
        <v>119411303.64</v>
      </c>
      <c r="N13" s="1139">
        <f t="shared" ref="N13:Q13" si="9">SUM(N8:N12)</f>
        <v>122582423.64</v>
      </c>
      <c r="O13" s="1139">
        <f t="shared" si="9"/>
        <v>50037513</v>
      </c>
      <c r="P13" s="1140">
        <f>O13/N13</f>
        <v>0.40819484159450253</v>
      </c>
      <c r="Q13" s="1139">
        <f t="shared" si="9"/>
        <v>72544910.640000001</v>
      </c>
    </row>
    <row r="14" spans="1:17">
      <c r="A14" s="1121" t="s">
        <v>324</v>
      </c>
      <c r="B14" s="1122" t="s">
        <v>318</v>
      </c>
      <c r="C14" s="1123">
        <f>'Hivatal 2022 évi elemi költésgv'!Y115</f>
        <v>0</v>
      </c>
      <c r="D14" s="1123">
        <f>'Hivatal 2022 évi elemi költésgv'!Z115</f>
        <v>845033</v>
      </c>
      <c r="E14" s="1123">
        <f>'Hivatal 2022 évi elemi költésgv'!AA115</f>
        <v>2806675</v>
      </c>
      <c r="F14" s="1135">
        <f>E14/D14</f>
        <v>3.3213791650740268</v>
      </c>
      <c r="G14" s="1123">
        <f>'Hivatal 2022 évi elemi költésgv'!AB115</f>
        <v>-1961642</v>
      </c>
      <c r="H14" s="1123"/>
      <c r="I14" s="1123"/>
      <c r="J14" s="1123"/>
      <c r="K14" s="1125" t="e">
        <f>J14/I14</f>
        <v>#DIV/0!</v>
      </c>
      <c r="L14" s="1141">
        <f>I14-J14</f>
        <v>0</v>
      </c>
      <c r="M14" s="1126">
        <f t="shared" ref="M14:O18" si="10">SUM(C14,H14,)</f>
        <v>0</v>
      </c>
      <c r="N14" s="1126">
        <f t="shared" si="10"/>
        <v>845033</v>
      </c>
      <c r="O14" s="1126">
        <f t="shared" si="10"/>
        <v>2806675</v>
      </c>
      <c r="P14" s="1124">
        <f>O14/N14</f>
        <v>3.3213791650740268</v>
      </c>
      <c r="Q14" s="1127">
        <f>N14-O14</f>
        <v>-1961642</v>
      </c>
    </row>
    <row r="15" spans="1:17">
      <c r="A15" s="1121" t="s">
        <v>325</v>
      </c>
      <c r="B15" s="1122" t="s">
        <v>318</v>
      </c>
      <c r="C15" s="1123">
        <f>'Hivatal 2022 évi elemi költésgv'!Y116</f>
        <v>0</v>
      </c>
      <c r="D15" s="1123">
        <f>'Hivatal 2022 évi elemi költésgv'!Z116</f>
        <v>0</v>
      </c>
      <c r="E15" s="1123">
        <f>'Hivatal 2022 évi elemi költésgv'!AA116</f>
        <v>114544</v>
      </c>
      <c r="F15" s="1135" t="e">
        <f t="shared" ref="F15:F18" si="11">E15/D15</f>
        <v>#DIV/0!</v>
      </c>
      <c r="G15" s="1123">
        <f>'Hivatal 2022 évi elemi költésgv'!AB116</f>
        <v>-114544</v>
      </c>
      <c r="H15" s="1123">
        <f>Óvoda!AH111</f>
        <v>0</v>
      </c>
      <c r="I15" s="1123">
        <f>Óvoda!AH111</f>
        <v>0</v>
      </c>
      <c r="J15" s="1123">
        <f>Óvoda!AK111</f>
        <v>2167</v>
      </c>
      <c r="K15" s="1125" t="e">
        <f t="shared" ref="K15:K18" si="12">J15/I15</f>
        <v>#DIV/0!</v>
      </c>
      <c r="L15" s="1123">
        <f>Óvoda!AN111</f>
        <v>-2167</v>
      </c>
      <c r="M15" s="1126">
        <f t="shared" si="10"/>
        <v>0</v>
      </c>
      <c r="N15" s="1126">
        <f t="shared" si="10"/>
        <v>0</v>
      </c>
      <c r="O15" s="1126">
        <f t="shared" si="10"/>
        <v>116711</v>
      </c>
      <c r="P15" s="1124" t="e">
        <f>O15/N15</f>
        <v>#DIV/0!</v>
      </c>
      <c r="Q15" s="1127">
        <f>N15-O15</f>
        <v>-116711</v>
      </c>
    </row>
    <row r="16" spans="1:17" ht="28.5" customHeight="1">
      <c r="A16" s="227" t="s">
        <v>326</v>
      </c>
      <c r="B16" s="83" t="s">
        <v>318</v>
      </c>
      <c r="C16" s="1123"/>
      <c r="D16" s="1123"/>
      <c r="E16" s="1123"/>
      <c r="F16" s="1135" t="e">
        <f t="shared" si="11"/>
        <v>#DIV/0!</v>
      </c>
      <c r="G16" s="1123"/>
      <c r="H16" s="1123"/>
      <c r="I16" s="1123"/>
      <c r="J16" s="1123"/>
      <c r="K16" s="1125" t="e">
        <f t="shared" si="12"/>
        <v>#DIV/0!</v>
      </c>
      <c r="L16" s="1141"/>
      <c r="M16" s="1126">
        <f t="shared" si="10"/>
        <v>0</v>
      </c>
      <c r="N16" s="1126">
        <f t="shared" si="10"/>
        <v>0</v>
      </c>
      <c r="O16" s="1126">
        <f t="shared" si="10"/>
        <v>0</v>
      </c>
      <c r="P16" s="1124"/>
      <c r="Q16" s="1142"/>
    </row>
    <row r="17" spans="1:17" ht="37.5" customHeight="1">
      <c r="A17" s="227" t="s">
        <v>327</v>
      </c>
      <c r="B17" s="83" t="s">
        <v>318</v>
      </c>
      <c r="C17" s="1123">
        <f>'Hivatal 2022 évi elemi költésgv'!Y117</f>
        <v>0</v>
      </c>
      <c r="D17" s="1123">
        <f>'Hivatal 2022 évi elemi költésgv'!Z117</f>
        <v>955636</v>
      </c>
      <c r="E17" s="1123">
        <f>'Hivatal 2022 évi elemi költésgv'!AA117</f>
        <v>955636</v>
      </c>
      <c r="F17" s="1135">
        <f t="shared" si="11"/>
        <v>1</v>
      </c>
      <c r="G17" s="1123">
        <f>'Hivatal 2022 évi elemi költésgv'!AB122</f>
        <v>-3526500</v>
      </c>
      <c r="H17" s="1123">
        <f>Óvoda!AG113</f>
        <v>0</v>
      </c>
      <c r="I17" s="1123">
        <f>Óvoda!AH113</f>
        <v>1370451</v>
      </c>
      <c r="J17" s="1123">
        <f>Óvoda!AN119</f>
        <v>25644765</v>
      </c>
      <c r="K17" s="1125">
        <f t="shared" si="12"/>
        <v>18.71264642077681</v>
      </c>
      <c r="L17" s="1123">
        <f>Óvoda!AN113</f>
        <v>0</v>
      </c>
      <c r="M17" s="1126">
        <f t="shared" si="10"/>
        <v>0</v>
      </c>
      <c r="N17" s="1126">
        <f t="shared" si="10"/>
        <v>2326087</v>
      </c>
      <c r="O17" s="1126">
        <f t="shared" si="10"/>
        <v>26600401</v>
      </c>
      <c r="P17" s="1124">
        <f>O17/N17</f>
        <v>11.435686197463809</v>
      </c>
      <c r="Q17" s="1127">
        <f>N17-O17</f>
        <v>-24274314</v>
      </c>
    </row>
    <row r="18" spans="1:17" ht="33.75" customHeight="1">
      <c r="A18" s="227" t="s">
        <v>328</v>
      </c>
      <c r="B18" s="83" t="s">
        <v>318</v>
      </c>
      <c r="C18" s="1123">
        <f>'Hivatal 2022 évi elemi költésgv'!Y118</f>
        <v>51407649</v>
      </c>
      <c r="D18" s="1123">
        <f>'Hivatal 2022 évi elemi költésgv'!Z118</f>
        <v>51407649</v>
      </c>
      <c r="E18" s="1123">
        <f>'Hivatal 2022 évi elemi költésgv'!AA118</f>
        <v>22669775</v>
      </c>
      <c r="F18" s="1135">
        <f t="shared" si="11"/>
        <v>0.4409805824810234</v>
      </c>
      <c r="G18" s="1123">
        <f>'Hivatal 2022 évi elemi költésgv'!AB118</f>
        <v>28737874</v>
      </c>
      <c r="H18" s="1123">
        <f>Óvoda!AG114</f>
        <v>68003654.640000001</v>
      </c>
      <c r="I18" s="1123">
        <f>Óvoda!AH114</f>
        <v>68003654.640000001</v>
      </c>
      <c r="J18" s="1123">
        <f>Óvoda!AM114</f>
        <v>0</v>
      </c>
      <c r="K18" s="1125">
        <f t="shared" si="12"/>
        <v>0</v>
      </c>
      <c r="L18" s="1123">
        <f>Óvoda!AN114</f>
        <v>68003654.640000001</v>
      </c>
      <c r="M18" s="1126">
        <f t="shared" si="10"/>
        <v>119411303.64</v>
      </c>
      <c r="N18" s="1126">
        <f t="shared" si="10"/>
        <v>119411303.64</v>
      </c>
      <c r="O18" s="1126">
        <f t="shared" si="10"/>
        <v>22669775</v>
      </c>
      <c r="P18" s="1124">
        <f>O18/N18</f>
        <v>0.18984613942700609</v>
      </c>
      <c r="Q18" s="1127">
        <f>N18-O18</f>
        <v>96741528.640000001</v>
      </c>
    </row>
    <row r="19" spans="1:17">
      <c r="A19" s="1132" t="s">
        <v>329</v>
      </c>
      <c r="B19" s="1133"/>
      <c r="C19" s="1134">
        <f t="shared" ref="C19:M19" si="13">SUM(C14:C18)</f>
        <v>51407649</v>
      </c>
      <c r="D19" s="1134">
        <f t="shared" ref="D19:G19" si="14">SUM(D14:D18)</f>
        <v>53208318</v>
      </c>
      <c r="E19" s="1134">
        <f t="shared" si="14"/>
        <v>26546630</v>
      </c>
      <c r="F19" s="1135">
        <f>E19/D19</f>
        <v>0.49891879686931656</v>
      </c>
      <c r="G19" s="1134">
        <f t="shared" si="14"/>
        <v>23135188</v>
      </c>
      <c r="H19" s="1136">
        <f>SUM(H14:H18)</f>
        <v>68003654.640000001</v>
      </c>
      <c r="I19" s="1136">
        <f t="shared" si="13"/>
        <v>69374105.640000001</v>
      </c>
      <c r="J19" s="1136">
        <f t="shared" si="13"/>
        <v>25646932</v>
      </c>
      <c r="K19" s="1137">
        <f>J19/I19</f>
        <v>0.3696902722333964</v>
      </c>
      <c r="L19" s="1138">
        <f>I19-J19</f>
        <v>43727173.640000001</v>
      </c>
      <c r="M19" s="1139">
        <f t="shared" si="13"/>
        <v>119411303.64</v>
      </c>
      <c r="N19" s="1139">
        <f t="shared" ref="N19:Q19" si="15">SUM(N14:N18)</f>
        <v>122582423.64</v>
      </c>
      <c r="O19" s="1139">
        <f t="shared" si="15"/>
        <v>52193562</v>
      </c>
      <c r="P19" s="1140">
        <f>O19/N19</f>
        <v>0.42578340719777269</v>
      </c>
      <c r="Q19" s="1139">
        <f t="shared" si="15"/>
        <v>70388861.640000001</v>
      </c>
    </row>
    <row r="20" spans="1:17" ht="15.75" thickBot="1">
      <c r="A20" s="1143" t="s">
        <v>149</v>
      </c>
      <c r="B20" s="1144"/>
      <c r="C20" s="1145">
        <f>C13-C19</f>
        <v>0</v>
      </c>
      <c r="D20" s="1145">
        <f>D13-D19</f>
        <v>0</v>
      </c>
      <c r="E20" s="1145"/>
      <c r="F20" s="1145"/>
      <c r="G20" s="1145"/>
      <c r="H20" s="1145">
        <f t="shared" ref="H20:I20" si="16">H13-H19</f>
        <v>0</v>
      </c>
      <c r="I20" s="1145">
        <f t="shared" si="16"/>
        <v>0</v>
      </c>
      <c r="J20" s="1145"/>
      <c r="K20" s="1145"/>
      <c r="L20" s="1145"/>
      <c r="M20" s="1145">
        <f>M13-M19</f>
        <v>0</v>
      </c>
      <c r="N20" s="1145">
        <f t="shared" ref="N20" si="17">N13-N19</f>
        <v>0</v>
      </c>
      <c r="O20" s="1146"/>
    </row>
  </sheetData>
  <mergeCells count="21">
    <mergeCell ref="M5:Q5"/>
    <mergeCell ref="P6:P7"/>
    <mergeCell ref="Q6:Q7"/>
    <mergeCell ref="A1:M1"/>
    <mergeCell ref="A3:M3"/>
    <mergeCell ref="A5:A7"/>
    <mergeCell ref="B5:B7"/>
    <mergeCell ref="C6:C7"/>
    <mergeCell ref="H6:H7"/>
    <mergeCell ref="M6:M7"/>
    <mergeCell ref="D6:D7"/>
    <mergeCell ref="E6:E7"/>
    <mergeCell ref="I6:I7"/>
    <mergeCell ref="J6:J7"/>
    <mergeCell ref="N6:N7"/>
    <mergeCell ref="O6:O7"/>
    <mergeCell ref="C5:G5"/>
    <mergeCell ref="F6:F7"/>
    <mergeCell ref="G6:G7"/>
    <mergeCell ref="H5:L5"/>
    <mergeCell ref="L6:L7"/>
  </mergeCells>
  <pageMargins left="0.25" right="0.25" top="0.75" bottom="0.75" header="0.3" footer="0.3"/>
  <pageSetup paperSize="8" scale="54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7030A0"/>
    <pageSetUpPr fitToPage="1"/>
  </sheetPr>
  <dimension ref="A1:AD122"/>
  <sheetViews>
    <sheetView topLeftCell="B93" zoomScaleNormal="100" workbookViewId="0">
      <selection activeCell="AA121" sqref="AA121"/>
    </sheetView>
  </sheetViews>
  <sheetFormatPr defaultColWidth="8.7109375" defaultRowHeight="15"/>
  <cols>
    <col min="1" max="1" width="1" style="256" hidden="1" customWidth="1"/>
    <col min="2" max="2" width="48.5703125" style="492" customWidth="1"/>
    <col min="3" max="3" width="12.5703125" style="413" customWidth="1"/>
    <col min="4" max="4" width="24.5703125" style="413" hidden="1" customWidth="1"/>
    <col min="5" max="5" width="28.140625" style="413" hidden="1" customWidth="1"/>
    <col min="6" max="6" width="25.140625" style="493" hidden="1" customWidth="1"/>
    <col min="7" max="8" width="21.5703125" style="411" hidden="1" customWidth="1"/>
    <col min="9" max="9" width="20.42578125" style="494" hidden="1" customWidth="1"/>
    <col min="10" max="10" width="21.5703125" style="411" hidden="1" customWidth="1"/>
    <col min="11" max="11" width="34.85546875" style="411" hidden="1" customWidth="1"/>
    <col min="12" max="13" width="21.5703125" style="411" hidden="1" customWidth="1"/>
    <col min="14" max="14" width="34.5703125" style="412" hidden="1" customWidth="1"/>
    <col min="15" max="15" width="21.28515625" style="413" hidden="1" customWidth="1"/>
    <col min="16" max="16" width="19.85546875" style="413" hidden="1" customWidth="1"/>
    <col min="17" max="17" width="34.5703125" style="414" hidden="1" customWidth="1"/>
    <col min="18" max="18" width="21.28515625" style="414" hidden="1" customWidth="1"/>
    <col min="19" max="19" width="19.42578125" style="414" hidden="1" customWidth="1"/>
    <col min="20" max="20" width="19.85546875" style="413" hidden="1" customWidth="1"/>
    <col min="21" max="22" width="30.5703125" style="413" hidden="1" customWidth="1"/>
    <col min="23" max="23" width="21.5703125" style="414" hidden="1" customWidth="1"/>
    <col min="24" max="24" width="36.42578125" style="414" hidden="1" customWidth="1"/>
    <col min="25" max="28" width="26.85546875" style="501" customWidth="1"/>
    <col min="29" max="29" width="26.85546875" style="415" customWidth="1"/>
    <col min="30" max="30" width="12" style="256" bestFit="1" customWidth="1"/>
    <col min="31" max="16384" width="8.7109375" style="256"/>
  </cols>
  <sheetData>
    <row r="1" spans="1:29">
      <c r="A1" s="1430" t="s">
        <v>532</v>
      </c>
      <c r="B1" s="1430"/>
      <c r="C1" s="1430"/>
      <c r="D1" s="1430"/>
      <c r="E1" s="1430"/>
      <c r="F1" s="1430"/>
      <c r="G1" s="409"/>
      <c r="H1" s="409"/>
      <c r="I1" s="410"/>
      <c r="J1" s="409"/>
    </row>
    <row r="2" spans="1:29" ht="45.75" customHeight="1">
      <c r="A2" s="1431" t="s">
        <v>902</v>
      </c>
      <c r="B2" s="1431"/>
      <c r="C2" s="1431"/>
      <c r="D2" s="1431"/>
      <c r="E2" s="1431"/>
      <c r="F2" s="1431"/>
      <c r="G2" s="1431"/>
      <c r="H2" s="1431"/>
      <c r="I2" s="1431"/>
      <c r="J2" s="1431"/>
      <c r="K2" s="1431"/>
      <c r="L2" s="1431"/>
      <c r="M2" s="1431"/>
      <c r="N2" s="1431"/>
      <c r="O2" s="1431"/>
      <c r="P2" s="1431"/>
      <c r="Q2" s="1432"/>
      <c r="R2" s="1432"/>
      <c r="S2" s="1432"/>
      <c r="T2" s="1432"/>
      <c r="U2" s="1432"/>
      <c r="V2" s="1432"/>
      <c r="W2" s="1432"/>
      <c r="X2" s="1432"/>
      <c r="Y2" s="1432"/>
      <c r="Z2" s="502"/>
      <c r="AA2" s="502"/>
      <c r="AB2" s="502"/>
      <c r="AC2" s="413"/>
    </row>
    <row r="3" spans="1:29" ht="17.25" customHeight="1" thickBot="1">
      <c r="A3" s="386"/>
      <c r="B3" s="406"/>
      <c r="C3" s="406"/>
      <c r="D3" s="406"/>
      <c r="E3" s="406"/>
      <c r="F3" s="318"/>
      <c r="G3" s="387"/>
      <c r="H3" s="387"/>
      <c r="I3" s="388"/>
      <c r="J3" s="387"/>
    </row>
    <row r="4" spans="1:29" ht="30" customHeight="1">
      <c r="A4" s="1454" t="s">
        <v>1</v>
      </c>
      <c r="B4" s="1456" t="s">
        <v>2</v>
      </c>
      <c r="C4" s="1459" t="s">
        <v>3</v>
      </c>
      <c r="D4" s="1433" t="s">
        <v>798</v>
      </c>
      <c r="E4" s="1434"/>
      <c r="F4" s="1434"/>
      <c r="G4" s="1434"/>
      <c r="H4" s="1434"/>
      <c r="I4" s="1434"/>
      <c r="J4" s="1434"/>
      <c r="K4" s="1434"/>
      <c r="L4" s="1434"/>
      <c r="M4" s="1434"/>
      <c r="N4" s="1434"/>
      <c r="O4" s="1434"/>
      <c r="P4" s="1434"/>
      <c r="Q4" s="1434"/>
      <c r="R4" s="1434"/>
      <c r="S4" s="1434"/>
      <c r="T4" s="1434"/>
      <c r="U4" s="1434"/>
      <c r="V4" s="1434"/>
      <c r="W4" s="1434"/>
      <c r="X4" s="1434"/>
      <c r="Y4" s="1434"/>
      <c r="Z4" s="1434"/>
      <c r="AA4" s="1434"/>
      <c r="AB4" s="1434"/>
      <c r="AC4" s="1435"/>
    </row>
    <row r="5" spans="1:29" ht="15" customHeight="1">
      <c r="A5" s="1455"/>
      <c r="B5" s="1457"/>
      <c r="C5" s="1460"/>
      <c r="D5" s="1462" t="s">
        <v>485</v>
      </c>
      <c r="E5" s="1462" t="s">
        <v>656</v>
      </c>
      <c r="F5" s="1472" t="s">
        <v>814</v>
      </c>
      <c r="G5" s="1464" t="s">
        <v>648</v>
      </c>
      <c r="H5" s="1464" t="s">
        <v>668</v>
      </c>
      <c r="I5" s="1470" t="s">
        <v>637</v>
      </c>
      <c r="J5" s="1464" t="s">
        <v>665</v>
      </c>
      <c r="K5" s="1452" t="s">
        <v>815</v>
      </c>
      <c r="L5" s="1452" t="s">
        <v>666</v>
      </c>
      <c r="M5" s="1452" t="s">
        <v>667</v>
      </c>
      <c r="N5" s="1452" t="s">
        <v>815</v>
      </c>
      <c r="O5" s="1452" t="s">
        <v>666</v>
      </c>
      <c r="P5" s="1452" t="s">
        <v>667</v>
      </c>
      <c r="Q5" s="1436" t="s">
        <v>150</v>
      </c>
      <c r="R5" s="1436" t="s">
        <v>666</v>
      </c>
      <c r="S5" s="1436" t="s">
        <v>667</v>
      </c>
      <c r="T5" s="1438" t="s">
        <v>802</v>
      </c>
      <c r="U5" s="1440" t="s">
        <v>816</v>
      </c>
      <c r="V5" s="1440" t="s">
        <v>816</v>
      </c>
      <c r="W5" s="1442" t="s">
        <v>817</v>
      </c>
      <c r="X5" s="1444" t="s">
        <v>805</v>
      </c>
      <c r="Y5" s="1446" t="s">
        <v>843</v>
      </c>
      <c r="Z5" s="1448" t="s">
        <v>838</v>
      </c>
      <c r="AA5" s="1448" t="s">
        <v>922</v>
      </c>
      <c r="AB5" s="1448" t="s">
        <v>923</v>
      </c>
      <c r="AC5" s="1450" t="s">
        <v>924</v>
      </c>
    </row>
    <row r="6" spans="1:29" ht="15.75" customHeight="1" thickBot="1">
      <c r="A6" s="1455"/>
      <c r="B6" s="1458"/>
      <c r="C6" s="1461"/>
      <c r="D6" s="1463"/>
      <c r="E6" s="1463"/>
      <c r="F6" s="1473"/>
      <c r="G6" s="1465"/>
      <c r="H6" s="1465"/>
      <c r="I6" s="1471"/>
      <c r="J6" s="1465"/>
      <c r="K6" s="1453"/>
      <c r="L6" s="1453"/>
      <c r="M6" s="1453"/>
      <c r="N6" s="1453"/>
      <c r="O6" s="1453"/>
      <c r="P6" s="1453"/>
      <c r="Q6" s="1437"/>
      <c r="R6" s="1437"/>
      <c r="S6" s="1437"/>
      <c r="T6" s="1439"/>
      <c r="U6" s="1441"/>
      <c r="V6" s="1441"/>
      <c r="W6" s="1443"/>
      <c r="X6" s="1445"/>
      <c r="Y6" s="1447"/>
      <c r="Z6" s="1449"/>
      <c r="AA6" s="1449"/>
      <c r="AB6" s="1449"/>
      <c r="AC6" s="1451"/>
    </row>
    <row r="7" spans="1:29">
      <c r="A7" s="389">
        <v>1</v>
      </c>
      <c r="B7" s="417" t="s">
        <v>5</v>
      </c>
      <c r="C7" s="418" t="s">
        <v>6</v>
      </c>
      <c r="D7" s="419">
        <v>20476483</v>
      </c>
      <c r="E7" s="419">
        <v>20476483</v>
      </c>
      <c r="F7" s="420">
        <v>21094216</v>
      </c>
      <c r="G7" s="421">
        <f t="shared" ref="G7:H40" si="0">SUM(L7,O7,R7,)</f>
        <v>20476483</v>
      </c>
      <c r="H7" s="421">
        <f t="shared" si="0"/>
        <v>13752550</v>
      </c>
      <c r="I7" s="422">
        <f>H7/G7</f>
        <v>0.67162656790231012</v>
      </c>
      <c r="J7" s="421">
        <f>G7-H7</f>
        <v>6723933</v>
      </c>
      <c r="K7" s="421">
        <v>21094216</v>
      </c>
      <c r="L7" s="421">
        <v>17789683</v>
      </c>
      <c r="M7" s="421">
        <v>11663810</v>
      </c>
      <c r="N7" s="423">
        <v>0</v>
      </c>
      <c r="O7" s="421">
        <v>2686800</v>
      </c>
      <c r="P7" s="418">
        <v>2088740</v>
      </c>
      <c r="Q7" s="424"/>
      <c r="R7" s="424"/>
      <c r="S7" s="424"/>
      <c r="T7" s="425">
        <f t="shared" ref="T7:T22" si="1">V7-F7</f>
        <v>-1859436</v>
      </c>
      <c r="U7" s="425">
        <f t="shared" ref="U7:U80" si="2">F7+T7</f>
        <v>19234780</v>
      </c>
      <c r="V7" s="426">
        <v>19234780</v>
      </c>
      <c r="W7" s="424">
        <v>17730666</v>
      </c>
      <c r="X7" s="424">
        <v>19620511</v>
      </c>
      <c r="Y7" s="497">
        <v>30794569</v>
      </c>
      <c r="Z7" s="497">
        <v>30696904</v>
      </c>
      <c r="AA7" s="497">
        <f>10319012+1350780</f>
        <v>11669792</v>
      </c>
      <c r="AB7" s="497">
        <f>Z7-AA7</f>
        <v>19027112</v>
      </c>
      <c r="AC7" s="427">
        <f>(AA7/Z7)*100</f>
        <v>38.016185606209667</v>
      </c>
    </row>
    <row r="8" spans="1:29">
      <c r="A8" s="389">
        <v>2</v>
      </c>
      <c r="B8" s="263" t="s">
        <v>7</v>
      </c>
      <c r="C8" s="262" t="s">
        <v>8</v>
      </c>
      <c r="D8" s="428">
        <v>0</v>
      </c>
      <c r="E8" s="428">
        <v>0</v>
      </c>
      <c r="F8" s="280">
        <f>SUM(K8,N8,Q8,)</f>
        <v>0</v>
      </c>
      <c r="G8" s="264">
        <f t="shared" si="0"/>
        <v>0</v>
      </c>
      <c r="H8" s="264">
        <f t="shared" si="0"/>
        <v>0</v>
      </c>
      <c r="I8" s="429"/>
      <c r="J8" s="264">
        <f t="shared" ref="J8:J81" si="3">G8-H8</f>
        <v>0</v>
      </c>
      <c r="K8" s="264"/>
      <c r="L8" s="264">
        <f t="shared" ref="L8:L81" si="4">K8</f>
        <v>0</v>
      </c>
      <c r="M8" s="264"/>
      <c r="N8" s="294"/>
      <c r="O8" s="264">
        <f t="shared" ref="O8:O81" si="5">N8</f>
        <v>0</v>
      </c>
      <c r="P8" s="262"/>
      <c r="Q8" s="266"/>
      <c r="R8" s="266"/>
      <c r="S8" s="266"/>
      <c r="T8" s="430">
        <f t="shared" si="1"/>
        <v>0</v>
      </c>
      <c r="U8" s="430">
        <f t="shared" si="2"/>
        <v>0</v>
      </c>
      <c r="V8" s="430"/>
      <c r="W8" s="266"/>
      <c r="X8" s="266"/>
      <c r="Y8" s="503">
        <f t="shared" ref="Y8:Y81" si="6">W8/10*12</f>
        <v>0</v>
      </c>
      <c r="Z8" s="497">
        <f t="shared" ref="Z8:Z81" si="7">SUM(Y8)</f>
        <v>0</v>
      </c>
      <c r="AA8" s="503">
        <v>0</v>
      </c>
      <c r="AB8" s="503">
        <f t="shared" ref="AB8:AB81" si="8">Z8-AA8</f>
        <v>0</v>
      </c>
      <c r="AC8" s="431"/>
    </row>
    <row r="9" spans="1:29">
      <c r="A9" s="389">
        <v>3</v>
      </c>
      <c r="B9" s="263" t="s">
        <v>9</v>
      </c>
      <c r="C9" s="262" t="s">
        <v>10</v>
      </c>
      <c r="D9" s="428">
        <v>0</v>
      </c>
      <c r="E9" s="428">
        <v>0</v>
      </c>
      <c r="F9" s="280">
        <f>SUM(K9,N9,Q9,)</f>
        <v>0</v>
      </c>
      <c r="G9" s="264">
        <f t="shared" si="0"/>
        <v>0</v>
      </c>
      <c r="H9" s="264">
        <f t="shared" si="0"/>
        <v>204519</v>
      </c>
      <c r="I9" s="429"/>
      <c r="J9" s="264">
        <f t="shared" si="3"/>
        <v>-204519</v>
      </c>
      <c r="K9" s="264"/>
      <c r="L9" s="264">
        <f t="shared" si="4"/>
        <v>0</v>
      </c>
      <c r="M9" s="264">
        <v>204519</v>
      </c>
      <c r="N9" s="294"/>
      <c r="O9" s="264">
        <f t="shared" si="5"/>
        <v>0</v>
      </c>
      <c r="P9" s="262"/>
      <c r="Q9" s="266"/>
      <c r="R9" s="266"/>
      <c r="S9" s="266"/>
      <c r="T9" s="430">
        <f t="shared" si="1"/>
        <v>0</v>
      </c>
      <c r="U9" s="430">
        <f t="shared" si="2"/>
        <v>0</v>
      </c>
      <c r="V9" s="430"/>
      <c r="W9" s="266"/>
      <c r="X9" s="266"/>
      <c r="Y9" s="503">
        <f t="shared" si="6"/>
        <v>0</v>
      </c>
      <c r="Z9" s="497">
        <f t="shared" si="7"/>
        <v>0</v>
      </c>
      <c r="AA9" s="503">
        <v>0</v>
      </c>
      <c r="AB9" s="503">
        <f t="shared" si="8"/>
        <v>0</v>
      </c>
      <c r="AC9" s="431"/>
    </row>
    <row r="10" spans="1:29">
      <c r="A10" s="389">
        <v>4</v>
      </c>
      <c r="B10" s="263" t="s">
        <v>11</v>
      </c>
      <c r="C10" s="262" t="s">
        <v>12</v>
      </c>
      <c r="D10" s="428">
        <v>270000</v>
      </c>
      <c r="E10" s="428">
        <v>270000</v>
      </c>
      <c r="F10" s="280">
        <v>150000</v>
      </c>
      <c r="G10" s="264">
        <f t="shared" si="0"/>
        <v>150000</v>
      </c>
      <c r="H10" s="264">
        <f t="shared" si="0"/>
        <v>0</v>
      </c>
      <c r="I10" s="429">
        <f t="shared" ref="I10:I80" si="9">H10/G10</f>
        <v>0</v>
      </c>
      <c r="J10" s="264">
        <f t="shared" si="3"/>
        <v>150000</v>
      </c>
      <c r="K10" s="264">
        <v>150000</v>
      </c>
      <c r="L10" s="264">
        <f t="shared" si="4"/>
        <v>150000</v>
      </c>
      <c r="M10" s="264"/>
      <c r="N10" s="294"/>
      <c r="O10" s="264">
        <f t="shared" si="5"/>
        <v>0</v>
      </c>
      <c r="P10" s="262"/>
      <c r="Q10" s="266"/>
      <c r="R10" s="266"/>
      <c r="S10" s="266"/>
      <c r="T10" s="430">
        <f t="shared" si="1"/>
        <v>0</v>
      </c>
      <c r="U10" s="430">
        <f t="shared" si="2"/>
        <v>150000</v>
      </c>
      <c r="V10" s="426">
        <v>150000</v>
      </c>
      <c r="W10" s="266"/>
      <c r="X10" s="266"/>
      <c r="Y10" s="503">
        <f t="shared" si="6"/>
        <v>0</v>
      </c>
      <c r="Z10" s="497">
        <f t="shared" si="7"/>
        <v>0</v>
      </c>
      <c r="AA10" s="503">
        <v>0</v>
      </c>
      <c r="AB10" s="503">
        <f t="shared" si="8"/>
        <v>0</v>
      </c>
      <c r="AC10" s="431"/>
    </row>
    <row r="11" spans="1:29">
      <c r="A11" s="389">
        <v>5</v>
      </c>
      <c r="B11" s="263" t="s">
        <v>13</v>
      </c>
      <c r="C11" s="262" t="s">
        <v>14</v>
      </c>
      <c r="D11" s="428">
        <v>0</v>
      </c>
      <c r="E11" s="428">
        <v>0</v>
      </c>
      <c r="F11" s="280">
        <f t="shared" ref="F11:F18" si="10">SUM(K11,N11,Q11,)</f>
        <v>0</v>
      </c>
      <c r="G11" s="264">
        <f t="shared" si="0"/>
        <v>0</v>
      </c>
      <c r="H11" s="264">
        <f t="shared" si="0"/>
        <v>0</v>
      </c>
      <c r="I11" s="429"/>
      <c r="J11" s="264">
        <f t="shared" si="3"/>
        <v>0</v>
      </c>
      <c r="K11" s="264"/>
      <c r="L11" s="264">
        <f t="shared" si="4"/>
        <v>0</v>
      </c>
      <c r="M11" s="264"/>
      <c r="N11" s="294"/>
      <c r="O11" s="264">
        <f t="shared" si="5"/>
        <v>0</v>
      </c>
      <c r="P11" s="262"/>
      <c r="Q11" s="266"/>
      <c r="R11" s="266"/>
      <c r="S11" s="266"/>
      <c r="T11" s="430">
        <f t="shared" si="1"/>
        <v>0</v>
      </c>
      <c r="U11" s="430">
        <f t="shared" si="2"/>
        <v>0</v>
      </c>
      <c r="V11" s="430"/>
      <c r="W11" s="266"/>
      <c r="X11" s="266"/>
      <c r="Y11" s="503">
        <f t="shared" si="6"/>
        <v>0</v>
      </c>
      <c r="Z11" s="497">
        <f t="shared" si="7"/>
        <v>0</v>
      </c>
      <c r="AA11" s="503">
        <v>0</v>
      </c>
      <c r="AB11" s="503">
        <f t="shared" si="8"/>
        <v>0</v>
      </c>
      <c r="AC11" s="431"/>
    </row>
    <row r="12" spans="1:29">
      <c r="A12" s="389">
        <v>6</v>
      </c>
      <c r="B12" s="263" t="s">
        <v>15</v>
      </c>
      <c r="C12" s="262" t="s">
        <v>16</v>
      </c>
      <c r="D12" s="428">
        <v>0</v>
      </c>
      <c r="E12" s="428">
        <v>0</v>
      </c>
      <c r="F12" s="280">
        <f t="shared" si="10"/>
        <v>0</v>
      </c>
      <c r="G12" s="264">
        <f t="shared" si="0"/>
        <v>0</v>
      </c>
      <c r="H12" s="264">
        <f t="shared" si="0"/>
        <v>0</v>
      </c>
      <c r="I12" s="429"/>
      <c r="J12" s="264">
        <f t="shared" si="3"/>
        <v>0</v>
      </c>
      <c r="K12" s="264"/>
      <c r="L12" s="264">
        <f t="shared" si="4"/>
        <v>0</v>
      </c>
      <c r="M12" s="264"/>
      <c r="N12" s="294"/>
      <c r="O12" s="264">
        <f t="shared" si="5"/>
        <v>0</v>
      </c>
      <c r="P12" s="262"/>
      <c r="Q12" s="266"/>
      <c r="R12" s="266"/>
      <c r="S12" s="266"/>
      <c r="T12" s="430">
        <f t="shared" si="1"/>
        <v>0</v>
      </c>
      <c r="U12" s="430">
        <f t="shared" si="2"/>
        <v>0</v>
      </c>
      <c r="V12" s="430"/>
      <c r="W12" s="266"/>
      <c r="X12" s="266"/>
      <c r="Y12" s="503">
        <v>1260000</v>
      </c>
      <c r="Z12" s="497">
        <f t="shared" si="7"/>
        <v>1260000</v>
      </c>
      <c r="AA12" s="503">
        <v>1260000</v>
      </c>
      <c r="AB12" s="503">
        <f t="shared" si="8"/>
        <v>0</v>
      </c>
      <c r="AC12" s="432">
        <f t="shared" ref="AC12:AC85" si="11">(AA12/Z12)*100</f>
        <v>100</v>
      </c>
    </row>
    <row r="13" spans="1:29">
      <c r="A13" s="389">
        <v>7</v>
      </c>
      <c r="B13" s="263" t="s">
        <v>17</v>
      </c>
      <c r="C13" s="262" t="s">
        <v>18</v>
      </c>
      <c r="D13" s="428">
        <v>1400000</v>
      </c>
      <c r="E13" s="428">
        <v>1400000</v>
      </c>
      <c r="F13" s="280">
        <f t="shared" si="10"/>
        <v>1400000</v>
      </c>
      <c r="G13" s="264">
        <f t="shared" si="0"/>
        <v>1400000</v>
      </c>
      <c r="H13" s="264">
        <f t="shared" si="0"/>
        <v>384691</v>
      </c>
      <c r="I13" s="429">
        <f t="shared" si="9"/>
        <v>0.27477928571428573</v>
      </c>
      <c r="J13" s="264">
        <f t="shared" si="3"/>
        <v>1015309</v>
      </c>
      <c r="K13" s="264">
        <v>1200000</v>
      </c>
      <c r="L13" s="264">
        <f t="shared" si="4"/>
        <v>1200000</v>
      </c>
      <c r="M13" s="264">
        <v>384691</v>
      </c>
      <c r="N13" s="294">
        <v>200000</v>
      </c>
      <c r="O13" s="264">
        <v>200000</v>
      </c>
      <c r="P13" s="262"/>
      <c r="Q13" s="266"/>
      <c r="R13" s="266"/>
      <c r="S13" s="266"/>
      <c r="T13" s="430">
        <f t="shared" si="1"/>
        <v>0</v>
      </c>
      <c r="U13" s="430">
        <f t="shared" si="2"/>
        <v>1400000</v>
      </c>
      <c r="V13" s="426">
        <v>1400000</v>
      </c>
      <c r="W13" s="266">
        <v>545224</v>
      </c>
      <c r="X13" s="266">
        <v>545224</v>
      </c>
      <c r="Y13" s="503">
        <v>2400000</v>
      </c>
      <c r="Z13" s="497">
        <v>2055359</v>
      </c>
      <c r="AA13" s="503">
        <f>1328125+312500</f>
        <v>1640625</v>
      </c>
      <c r="AB13" s="503">
        <f t="shared" si="8"/>
        <v>414734</v>
      </c>
      <c r="AC13" s="432">
        <f t="shared" si="11"/>
        <v>79.821821881238264</v>
      </c>
    </row>
    <row r="14" spans="1:29">
      <c r="A14" s="389">
        <v>8</v>
      </c>
      <c r="B14" s="263" t="s">
        <v>19</v>
      </c>
      <c r="C14" s="262" t="s">
        <v>20</v>
      </c>
      <c r="D14" s="428">
        <v>50000</v>
      </c>
      <c r="E14" s="428">
        <v>50000</v>
      </c>
      <c r="F14" s="280">
        <f t="shared" si="10"/>
        <v>50000</v>
      </c>
      <c r="G14" s="264">
        <f t="shared" si="0"/>
        <v>50000</v>
      </c>
      <c r="H14" s="264">
        <f t="shared" si="0"/>
        <v>30000</v>
      </c>
      <c r="I14" s="429">
        <f t="shared" si="9"/>
        <v>0.6</v>
      </c>
      <c r="J14" s="264">
        <f t="shared" si="3"/>
        <v>20000</v>
      </c>
      <c r="K14" s="264">
        <v>50000</v>
      </c>
      <c r="L14" s="264">
        <f t="shared" si="4"/>
        <v>50000</v>
      </c>
      <c r="M14" s="264">
        <v>30000</v>
      </c>
      <c r="N14" s="294"/>
      <c r="O14" s="264">
        <f t="shared" si="5"/>
        <v>0</v>
      </c>
      <c r="P14" s="262"/>
      <c r="Q14" s="266"/>
      <c r="R14" s="266"/>
      <c r="S14" s="266"/>
      <c r="T14" s="430">
        <f t="shared" si="1"/>
        <v>0</v>
      </c>
      <c r="U14" s="430">
        <f t="shared" si="2"/>
        <v>50000</v>
      </c>
      <c r="V14" s="426">
        <v>50000</v>
      </c>
      <c r="W14" s="266"/>
      <c r="X14" s="266"/>
      <c r="Y14" s="503">
        <v>60000</v>
      </c>
      <c r="Z14" s="497">
        <f t="shared" si="7"/>
        <v>60000</v>
      </c>
      <c r="AA14" s="503">
        <v>30500</v>
      </c>
      <c r="AB14" s="503">
        <f t="shared" si="8"/>
        <v>29500</v>
      </c>
      <c r="AC14" s="432">
        <f t="shared" si="11"/>
        <v>50.833333333333329</v>
      </c>
    </row>
    <row r="15" spans="1:29">
      <c r="A15" s="389">
        <v>9</v>
      </c>
      <c r="B15" s="263" t="s">
        <v>21</v>
      </c>
      <c r="C15" s="262" t="s">
        <v>22</v>
      </c>
      <c r="D15" s="428">
        <v>360000</v>
      </c>
      <c r="E15" s="428">
        <v>360000</v>
      </c>
      <c r="F15" s="280">
        <f t="shared" si="10"/>
        <v>360000</v>
      </c>
      <c r="G15" s="264">
        <f t="shared" si="0"/>
        <v>360000</v>
      </c>
      <c r="H15" s="264">
        <f t="shared" si="0"/>
        <v>117550</v>
      </c>
      <c r="I15" s="429">
        <f t="shared" si="9"/>
        <v>0.32652777777777775</v>
      </c>
      <c r="J15" s="264">
        <f t="shared" si="3"/>
        <v>242450</v>
      </c>
      <c r="K15" s="264">
        <v>260000</v>
      </c>
      <c r="L15" s="264">
        <f t="shared" si="4"/>
        <v>260000</v>
      </c>
      <c r="M15" s="264">
        <v>117550</v>
      </c>
      <c r="N15" s="294">
        <v>100000</v>
      </c>
      <c r="O15" s="264">
        <v>100000</v>
      </c>
      <c r="P15" s="262"/>
      <c r="Q15" s="266"/>
      <c r="R15" s="266"/>
      <c r="S15" s="266"/>
      <c r="T15" s="430">
        <f t="shared" si="1"/>
        <v>0</v>
      </c>
      <c r="U15" s="430">
        <f t="shared" si="2"/>
        <v>360000</v>
      </c>
      <c r="V15" s="426">
        <v>360000</v>
      </c>
      <c r="W15" s="266">
        <v>181920</v>
      </c>
      <c r="X15" s="266">
        <v>201930</v>
      </c>
      <c r="Y15" s="503">
        <v>300000</v>
      </c>
      <c r="Z15" s="497">
        <v>424235</v>
      </c>
      <c r="AA15" s="503">
        <f>169825</f>
        <v>169825</v>
      </c>
      <c r="AB15" s="503">
        <f t="shared" si="8"/>
        <v>254410</v>
      </c>
      <c r="AC15" s="432">
        <f t="shared" si="11"/>
        <v>40.030879111813029</v>
      </c>
    </row>
    <row r="16" spans="1:29">
      <c r="A16" s="389">
        <v>10</v>
      </c>
      <c r="B16" s="263" t="s">
        <v>23</v>
      </c>
      <c r="C16" s="262" t="s">
        <v>24</v>
      </c>
      <c r="D16" s="428">
        <v>84000</v>
      </c>
      <c r="E16" s="428">
        <v>84000</v>
      </c>
      <c r="F16" s="280">
        <f t="shared" si="10"/>
        <v>84000</v>
      </c>
      <c r="G16" s="264">
        <f t="shared" si="0"/>
        <v>84000</v>
      </c>
      <c r="H16" s="264">
        <f t="shared" si="0"/>
        <v>31000</v>
      </c>
      <c r="I16" s="429">
        <f t="shared" si="9"/>
        <v>0.36904761904761907</v>
      </c>
      <c r="J16" s="264">
        <f t="shared" si="3"/>
        <v>53000</v>
      </c>
      <c r="K16" s="264">
        <v>72000</v>
      </c>
      <c r="L16" s="264">
        <f t="shared" si="4"/>
        <v>72000</v>
      </c>
      <c r="M16" s="264">
        <v>31000</v>
      </c>
      <c r="N16" s="294">
        <v>12000</v>
      </c>
      <c r="O16" s="264">
        <v>12000</v>
      </c>
      <c r="P16" s="262"/>
      <c r="Q16" s="266"/>
      <c r="R16" s="266"/>
      <c r="S16" s="266"/>
      <c r="T16" s="430">
        <f t="shared" si="1"/>
        <v>0</v>
      </c>
      <c r="U16" s="430">
        <f t="shared" si="2"/>
        <v>84000</v>
      </c>
      <c r="V16" s="426">
        <v>84000</v>
      </c>
      <c r="W16" s="266">
        <v>35000</v>
      </c>
      <c r="X16" s="266">
        <v>35000</v>
      </c>
      <c r="Y16" s="503">
        <v>396000</v>
      </c>
      <c r="Z16" s="497">
        <v>235773</v>
      </c>
      <c r="AA16" s="503">
        <f>3000</f>
        <v>3000</v>
      </c>
      <c r="AB16" s="503">
        <f t="shared" si="8"/>
        <v>232773</v>
      </c>
      <c r="AC16" s="431">
        <f t="shared" si="11"/>
        <v>1.2724103268822129</v>
      </c>
    </row>
    <row r="17" spans="1:30">
      <c r="A17" s="389">
        <v>11</v>
      </c>
      <c r="B17" s="263" t="s">
        <v>25</v>
      </c>
      <c r="C17" s="262" t="s">
        <v>26</v>
      </c>
      <c r="D17" s="428">
        <v>0</v>
      </c>
      <c r="E17" s="428">
        <v>0</v>
      </c>
      <c r="F17" s="280">
        <f t="shared" si="10"/>
        <v>0</v>
      </c>
      <c r="G17" s="264">
        <f t="shared" si="0"/>
        <v>0</v>
      </c>
      <c r="H17" s="264">
        <f t="shared" si="0"/>
        <v>0</v>
      </c>
      <c r="I17" s="429"/>
      <c r="J17" s="264">
        <f t="shared" si="3"/>
        <v>0</v>
      </c>
      <c r="K17" s="264"/>
      <c r="L17" s="264">
        <f t="shared" si="4"/>
        <v>0</v>
      </c>
      <c r="M17" s="264"/>
      <c r="N17" s="294"/>
      <c r="O17" s="264">
        <f t="shared" si="5"/>
        <v>0</v>
      </c>
      <c r="P17" s="262"/>
      <c r="Q17" s="266"/>
      <c r="R17" s="266"/>
      <c r="S17" s="266"/>
      <c r="T17" s="430">
        <f t="shared" si="1"/>
        <v>0</v>
      </c>
      <c r="U17" s="430">
        <f t="shared" si="2"/>
        <v>0</v>
      </c>
      <c r="V17" s="430"/>
      <c r="W17" s="266"/>
      <c r="X17" s="266"/>
      <c r="Y17" s="503">
        <f t="shared" si="6"/>
        <v>0</v>
      </c>
      <c r="Z17" s="497">
        <f t="shared" si="7"/>
        <v>0</v>
      </c>
      <c r="AA17" s="503">
        <v>0</v>
      </c>
      <c r="AB17" s="503">
        <f t="shared" si="8"/>
        <v>0</v>
      </c>
      <c r="AC17" s="432"/>
    </row>
    <row r="18" spans="1:30" ht="63" customHeight="1">
      <c r="A18" s="389">
        <v>12</v>
      </c>
      <c r="B18" s="263" t="s">
        <v>27</v>
      </c>
      <c r="C18" s="262" t="s">
        <v>28</v>
      </c>
      <c r="D18" s="428">
        <v>0</v>
      </c>
      <c r="E18" s="428">
        <v>0</v>
      </c>
      <c r="F18" s="280">
        <f t="shared" si="10"/>
        <v>0</v>
      </c>
      <c r="G18" s="264">
        <f t="shared" si="0"/>
        <v>0</v>
      </c>
      <c r="H18" s="264">
        <f t="shared" si="0"/>
        <v>0</v>
      </c>
      <c r="I18" s="429"/>
      <c r="J18" s="264">
        <f t="shared" si="3"/>
        <v>0</v>
      </c>
      <c r="K18" s="264"/>
      <c r="L18" s="264">
        <f t="shared" si="4"/>
        <v>0</v>
      </c>
      <c r="M18" s="264"/>
      <c r="N18" s="294"/>
      <c r="O18" s="264">
        <f t="shared" si="5"/>
        <v>0</v>
      </c>
      <c r="P18" s="262"/>
      <c r="Q18" s="266"/>
      <c r="R18" s="266"/>
      <c r="S18" s="266"/>
      <c r="T18" s="430">
        <f t="shared" si="1"/>
        <v>0</v>
      </c>
      <c r="U18" s="430">
        <f t="shared" si="2"/>
        <v>0</v>
      </c>
      <c r="V18" s="430"/>
      <c r="W18" s="266"/>
      <c r="X18" s="266"/>
      <c r="Y18" s="503">
        <f t="shared" si="6"/>
        <v>0</v>
      </c>
      <c r="Z18" s="497">
        <f t="shared" si="7"/>
        <v>0</v>
      </c>
      <c r="AA18" s="503">
        <v>0</v>
      </c>
      <c r="AB18" s="503">
        <f t="shared" si="8"/>
        <v>0</v>
      </c>
      <c r="AC18" s="431"/>
    </row>
    <row r="19" spans="1:30">
      <c r="A19" s="389">
        <v>13</v>
      </c>
      <c r="B19" s="263" t="s">
        <v>29</v>
      </c>
      <c r="C19" s="262" t="s">
        <v>30</v>
      </c>
      <c r="D19" s="428">
        <v>16100</v>
      </c>
      <c r="E19" s="428">
        <v>16100</v>
      </c>
      <c r="F19" s="280">
        <v>16380</v>
      </c>
      <c r="G19" s="264">
        <f t="shared" si="0"/>
        <v>16380</v>
      </c>
      <c r="H19" s="264">
        <f t="shared" si="0"/>
        <v>523117</v>
      </c>
      <c r="I19" s="429">
        <f t="shared" si="9"/>
        <v>31.936324786324786</v>
      </c>
      <c r="J19" s="264">
        <f t="shared" si="3"/>
        <v>-506737</v>
      </c>
      <c r="K19" s="264">
        <v>16380</v>
      </c>
      <c r="L19" s="264">
        <f t="shared" si="4"/>
        <v>16380</v>
      </c>
      <c r="M19" s="264">
        <v>523117</v>
      </c>
      <c r="N19" s="294"/>
      <c r="O19" s="264">
        <f t="shared" si="5"/>
        <v>0</v>
      </c>
      <c r="P19" s="262"/>
      <c r="Q19" s="266"/>
      <c r="R19" s="266"/>
      <c r="S19" s="266"/>
      <c r="T19" s="430">
        <f t="shared" si="1"/>
        <v>811270</v>
      </c>
      <c r="U19" s="430">
        <f t="shared" si="2"/>
        <v>827650</v>
      </c>
      <c r="V19" s="426">
        <v>827650</v>
      </c>
      <c r="W19" s="266">
        <v>733208</v>
      </c>
      <c r="X19" s="266">
        <v>1211580</v>
      </c>
      <c r="Y19" s="503">
        <v>0</v>
      </c>
      <c r="Z19" s="497">
        <v>598298</v>
      </c>
      <c r="AA19" s="503">
        <f>328518+120000+149780</f>
        <v>598298</v>
      </c>
      <c r="AB19" s="503">
        <f t="shared" si="8"/>
        <v>0</v>
      </c>
      <c r="AC19" s="431"/>
    </row>
    <row r="20" spans="1:30" s="277" customFormat="1">
      <c r="A20" s="390">
        <v>14</v>
      </c>
      <c r="B20" s="272" t="s">
        <v>31</v>
      </c>
      <c r="C20" s="271" t="s">
        <v>32</v>
      </c>
      <c r="D20" s="433">
        <v>22656583</v>
      </c>
      <c r="E20" s="433">
        <v>22656583</v>
      </c>
      <c r="F20" s="282">
        <f>SUM(F7:F19)</f>
        <v>23154596</v>
      </c>
      <c r="G20" s="282">
        <f t="shared" ref="G20:S20" si="12">SUM(G7:G19)</f>
        <v>22536863</v>
      </c>
      <c r="H20" s="282">
        <f t="shared" si="12"/>
        <v>15043427</v>
      </c>
      <c r="I20" s="282">
        <f t="shared" si="12"/>
        <v>34.178306036766777</v>
      </c>
      <c r="J20" s="282">
        <f t="shared" si="12"/>
        <v>7493436</v>
      </c>
      <c r="K20" s="282">
        <f t="shared" si="12"/>
        <v>22842596</v>
      </c>
      <c r="L20" s="282">
        <f t="shared" si="12"/>
        <v>19538063</v>
      </c>
      <c r="M20" s="282">
        <f t="shared" si="12"/>
        <v>12954687</v>
      </c>
      <c r="N20" s="282">
        <f t="shared" si="12"/>
        <v>312000</v>
      </c>
      <c r="O20" s="282">
        <f t="shared" si="12"/>
        <v>2998800</v>
      </c>
      <c r="P20" s="282">
        <f t="shared" si="12"/>
        <v>2088740</v>
      </c>
      <c r="Q20" s="282">
        <f t="shared" si="12"/>
        <v>0</v>
      </c>
      <c r="R20" s="282">
        <f t="shared" si="12"/>
        <v>0</v>
      </c>
      <c r="S20" s="282">
        <f t="shared" si="12"/>
        <v>0</v>
      </c>
      <c r="T20" s="434">
        <f t="shared" si="1"/>
        <v>-1048166</v>
      </c>
      <c r="U20" s="434">
        <f t="shared" si="2"/>
        <v>22106430</v>
      </c>
      <c r="V20" s="435">
        <v>22106430</v>
      </c>
      <c r="W20" s="275">
        <f t="shared" ref="W20:X20" si="13">SUM(W7:W19)</f>
        <v>19226018</v>
      </c>
      <c r="X20" s="275">
        <f t="shared" si="13"/>
        <v>21614245</v>
      </c>
      <c r="Y20" s="504">
        <f>SUM(Y7:Y19)</f>
        <v>35210569</v>
      </c>
      <c r="Z20" s="498">
        <f>SUM(Z7:Z19)</f>
        <v>35330569</v>
      </c>
      <c r="AA20" s="504">
        <f>SUM(AA7:AA7:AA12,AA14:AA19)+AA13</f>
        <v>15372040</v>
      </c>
      <c r="AB20" s="496">
        <f>Z20-AA20</f>
        <v>19958529</v>
      </c>
      <c r="AC20" s="436">
        <f t="shared" si="11"/>
        <v>43.509177562354004</v>
      </c>
      <c r="AD20" s="407"/>
    </row>
    <row r="21" spans="1:30">
      <c r="A21" s="390"/>
      <c r="B21" s="272"/>
      <c r="C21" s="278" t="s">
        <v>33</v>
      </c>
      <c r="D21" s="437">
        <v>0</v>
      </c>
      <c r="E21" s="437">
        <v>0</v>
      </c>
      <c r="F21" s="280">
        <f>SUM(K21,N21,Q21,)</f>
        <v>0</v>
      </c>
      <c r="G21" s="264">
        <f t="shared" si="0"/>
        <v>0</v>
      </c>
      <c r="H21" s="264">
        <f t="shared" si="0"/>
        <v>0</v>
      </c>
      <c r="I21" s="429"/>
      <c r="J21" s="264">
        <f t="shared" si="3"/>
        <v>0</v>
      </c>
      <c r="K21" s="264"/>
      <c r="L21" s="264">
        <f t="shared" si="4"/>
        <v>0</v>
      </c>
      <c r="M21" s="264"/>
      <c r="N21" s="294"/>
      <c r="O21" s="264">
        <f t="shared" si="5"/>
        <v>0</v>
      </c>
      <c r="P21" s="262"/>
      <c r="Q21" s="266"/>
      <c r="R21" s="266"/>
      <c r="S21" s="266"/>
      <c r="T21" s="430">
        <f t="shared" si="1"/>
        <v>0</v>
      </c>
      <c r="U21" s="430">
        <f t="shared" si="2"/>
        <v>0</v>
      </c>
      <c r="V21" s="430"/>
      <c r="W21" s="266"/>
      <c r="X21" s="266"/>
      <c r="Y21" s="503">
        <f t="shared" si="6"/>
        <v>0</v>
      </c>
      <c r="Z21" s="497">
        <f t="shared" si="7"/>
        <v>0</v>
      </c>
      <c r="AA21" s="503"/>
      <c r="AB21" s="503">
        <f t="shared" si="8"/>
        <v>0</v>
      </c>
      <c r="AC21" s="431"/>
    </row>
    <row r="22" spans="1:30" ht="30">
      <c r="A22" s="390"/>
      <c r="B22" s="279" t="s">
        <v>818</v>
      </c>
      <c r="C22" s="278" t="s">
        <v>34</v>
      </c>
      <c r="D22" s="437">
        <v>0</v>
      </c>
      <c r="E22" s="437">
        <v>70000</v>
      </c>
      <c r="F22" s="280">
        <f>SUM(K22,N22,Q22,)</f>
        <v>0</v>
      </c>
      <c r="G22" s="264">
        <f t="shared" si="0"/>
        <v>70000</v>
      </c>
      <c r="H22" s="264">
        <f t="shared" si="0"/>
        <v>331705</v>
      </c>
      <c r="I22" s="429"/>
      <c r="J22" s="264">
        <f t="shared" si="3"/>
        <v>-261705</v>
      </c>
      <c r="K22" s="264"/>
      <c r="L22" s="264">
        <f t="shared" si="4"/>
        <v>0</v>
      </c>
      <c r="M22" s="264">
        <v>261705</v>
      </c>
      <c r="N22" s="294"/>
      <c r="O22" s="264">
        <f t="shared" si="5"/>
        <v>0</v>
      </c>
      <c r="P22" s="262"/>
      <c r="Q22" s="266"/>
      <c r="R22" s="266">
        <v>70000</v>
      </c>
      <c r="S22" s="266">
        <v>70000</v>
      </c>
      <c r="T22" s="430">
        <f t="shared" si="1"/>
        <v>3656000</v>
      </c>
      <c r="U22" s="430">
        <f t="shared" si="2"/>
        <v>3656000</v>
      </c>
      <c r="V22" s="426">
        <v>3656000</v>
      </c>
      <c r="W22" s="266">
        <v>2481000</v>
      </c>
      <c r="X22" s="266">
        <v>2728000</v>
      </c>
      <c r="Y22" s="503">
        <v>0</v>
      </c>
      <c r="Z22" s="497">
        <f t="shared" si="7"/>
        <v>0</v>
      </c>
      <c r="AA22" s="503">
        <v>0</v>
      </c>
      <c r="AB22" s="503">
        <f t="shared" si="8"/>
        <v>0</v>
      </c>
      <c r="AC22" s="432"/>
    </row>
    <row r="23" spans="1:30" ht="30">
      <c r="A23" s="389">
        <v>17</v>
      </c>
      <c r="B23" s="279" t="s">
        <v>819</v>
      </c>
      <c r="C23" s="262" t="s">
        <v>35</v>
      </c>
      <c r="D23" s="428">
        <v>50000</v>
      </c>
      <c r="E23" s="428">
        <v>461365</v>
      </c>
      <c r="F23" s="280">
        <v>3014000</v>
      </c>
      <c r="G23" s="264">
        <f t="shared" si="0"/>
        <v>461365</v>
      </c>
      <c r="H23" s="264">
        <f t="shared" si="0"/>
        <v>547365</v>
      </c>
      <c r="I23" s="429">
        <f t="shared" si="9"/>
        <v>1.1864033899407194</v>
      </c>
      <c r="J23" s="264">
        <f t="shared" si="3"/>
        <v>-86000</v>
      </c>
      <c r="K23" s="264">
        <v>50000</v>
      </c>
      <c r="L23" s="264">
        <f t="shared" si="4"/>
        <v>50000</v>
      </c>
      <c r="M23" s="264"/>
      <c r="N23" s="294">
        <v>2964000</v>
      </c>
      <c r="O23" s="264">
        <v>0</v>
      </c>
      <c r="P23" s="262">
        <v>136000</v>
      </c>
      <c r="Q23" s="266"/>
      <c r="R23" s="266">
        <v>411365</v>
      </c>
      <c r="S23" s="266">
        <v>411365</v>
      </c>
      <c r="T23" s="430">
        <f>V23-F23+1774859</f>
        <v>-737975</v>
      </c>
      <c r="U23" s="430">
        <f t="shared" si="2"/>
        <v>2276025</v>
      </c>
      <c r="V23" s="426">
        <v>501166</v>
      </c>
      <c r="W23" s="266">
        <v>497932</v>
      </c>
      <c r="X23" s="266">
        <v>1044872</v>
      </c>
      <c r="Y23" s="503">
        <v>0</v>
      </c>
      <c r="Z23" s="497">
        <v>438098</v>
      </c>
      <c r="AA23" s="503">
        <f>438098</f>
        <v>438098</v>
      </c>
      <c r="AB23" s="503">
        <f t="shared" si="8"/>
        <v>0</v>
      </c>
      <c r="AC23" s="432">
        <f t="shared" si="11"/>
        <v>100</v>
      </c>
    </row>
    <row r="24" spans="1:30" s="277" customFormat="1">
      <c r="A24" s="390">
        <v>18</v>
      </c>
      <c r="B24" s="272" t="s">
        <v>36</v>
      </c>
      <c r="C24" s="271" t="s">
        <v>37</v>
      </c>
      <c r="D24" s="433">
        <v>50000</v>
      </c>
      <c r="E24" s="433">
        <v>531365</v>
      </c>
      <c r="F24" s="282">
        <f>SUM(F21:F23)</f>
        <v>3014000</v>
      </c>
      <c r="G24" s="282">
        <f t="shared" ref="G24:X24" si="14">SUM(G21:G23)</f>
        <v>531365</v>
      </c>
      <c r="H24" s="282">
        <f t="shared" si="14"/>
        <v>879070</v>
      </c>
      <c r="I24" s="282">
        <f t="shared" si="14"/>
        <v>1.1864033899407194</v>
      </c>
      <c r="J24" s="282">
        <f t="shared" si="14"/>
        <v>-347705</v>
      </c>
      <c r="K24" s="282">
        <f t="shared" si="14"/>
        <v>50000</v>
      </c>
      <c r="L24" s="282">
        <f t="shared" si="14"/>
        <v>50000</v>
      </c>
      <c r="M24" s="282">
        <f t="shared" si="14"/>
        <v>261705</v>
      </c>
      <c r="N24" s="282">
        <f t="shared" si="14"/>
        <v>2964000</v>
      </c>
      <c r="O24" s="282">
        <f t="shared" si="14"/>
        <v>0</v>
      </c>
      <c r="P24" s="282">
        <f t="shared" si="14"/>
        <v>136000</v>
      </c>
      <c r="Q24" s="282">
        <f t="shared" si="14"/>
        <v>0</v>
      </c>
      <c r="R24" s="282">
        <f t="shared" si="14"/>
        <v>481365</v>
      </c>
      <c r="S24" s="282">
        <f t="shared" si="14"/>
        <v>481365</v>
      </c>
      <c r="T24" s="282">
        <f t="shared" si="14"/>
        <v>2918025</v>
      </c>
      <c r="U24" s="282">
        <f t="shared" si="2"/>
        <v>5932025</v>
      </c>
      <c r="V24" s="282">
        <f t="shared" si="14"/>
        <v>4157166</v>
      </c>
      <c r="W24" s="275">
        <f t="shared" si="14"/>
        <v>2978932</v>
      </c>
      <c r="X24" s="275">
        <f t="shared" si="14"/>
        <v>3772872</v>
      </c>
      <c r="Y24" s="504">
        <f>SUM(Y21:Y23)</f>
        <v>0</v>
      </c>
      <c r="Z24" s="498">
        <f>SUM(Z21:Z23)</f>
        <v>438098</v>
      </c>
      <c r="AA24" s="504">
        <f>SUM(AA21:AA23)</f>
        <v>438098</v>
      </c>
      <c r="AB24" s="496">
        <f t="shared" si="8"/>
        <v>0</v>
      </c>
      <c r="AC24" s="436">
        <f t="shared" si="11"/>
        <v>100</v>
      </c>
    </row>
    <row r="25" spans="1:30" s="277" customFormat="1">
      <c r="A25" s="390">
        <v>19</v>
      </c>
      <c r="B25" s="272" t="s">
        <v>38</v>
      </c>
      <c r="C25" s="271" t="s">
        <v>39</v>
      </c>
      <c r="D25" s="433">
        <v>22706583</v>
      </c>
      <c r="E25" s="433">
        <v>23187948</v>
      </c>
      <c r="F25" s="282">
        <f>SUM(F20,F24)</f>
        <v>26168596</v>
      </c>
      <c r="G25" s="282">
        <f t="shared" ref="G25:X25" si="15">SUM(G20,G24)</f>
        <v>23068228</v>
      </c>
      <c r="H25" s="282">
        <f t="shared" si="15"/>
        <v>15922497</v>
      </c>
      <c r="I25" s="282">
        <f t="shared" si="15"/>
        <v>35.364709426707499</v>
      </c>
      <c r="J25" s="282">
        <f t="shared" si="15"/>
        <v>7145731</v>
      </c>
      <c r="K25" s="282">
        <f t="shared" si="15"/>
        <v>22892596</v>
      </c>
      <c r="L25" s="282">
        <f t="shared" si="15"/>
        <v>19588063</v>
      </c>
      <c r="M25" s="282">
        <f t="shared" si="15"/>
        <v>13216392</v>
      </c>
      <c r="N25" s="282">
        <f t="shared" si="15"/>
        <v>3276000</v>
      </c>
      <c r="O25" s="282">
        <f t="shared" si="15"/>
        <v>2998800</v>
      </c>
      <c r="P25" s="282">
        <f t="shared" si="15"/>
        <v>2224740</v>
      </c>
      <c r="Q25" s="282">
        <f t="shared" si="15"/>
        <v>0</v>
      </c>
      <c r="R25" s="282">
        <f t="shared" si="15"/>
        <v>481365</v>
      </c>
      <c r="S25" s="282">
        <f t="shared" si="15"/>
        <v>481365</v>
      </c>
      <c r="T25" s="282">
        <f t="shared" si="15"/>
        <v>1869859</v>
      </c>
      <c r="U25" s="282">
        <f t="shared" si="2"/>
        <v>28038455</v>
      </c>
      <c r="V25" s="282">
        <f t="shared" si="15"/>
        <v>26263596</v>
      </c>
      <c r="W25" s="275">
        <f t="shared" si="15"/>
        <v>22204950</v>
      </c>
      <c r="X25" s="275">
        <f t="shared" si="15"/>
        <v>25387117</v>
      </c>
      <c r="Y25" s="504">
        <f>SUM(Y20,Y24)</f>
        <v>35210569</v>
      </c>
      <c r="Z25" s="504">
        <f>SUM(Z20,Z24)</f>
        <v>35768667</v>
      </c>
      <c r="AA25" s="504">
        <f>SUM(AA20,AA24)</f>
        <v>15810138</v>
      </c>
      <c r="AB25" s="496">
        <f t="shared" si="8"/>
        <v>19958529</v>
      </c>
      <c r="AC25" s="436">
        <f t="shared" si="11"/>
        <v>44.201082472545032</v>
      </c>
    </row>
    <row r="26" spans="1:30" s="391" customFormat="1" ht="29.25">
      <c r="A26" s="390">
        <v>20</v>
      </c>
      <c r="B26" s="272" t="s">
        <v>40</v>
      </c>
      <c r="C26" s="271" t="s">
        <v>41</v>
      </c>
      <c r="D26" s="433">
        <v>4648933.8000000007</v>
      </c>
      <c r="E26" s="433">
        <v>4746863.8</v>
      </c>
      <c r="F26" s="282">
        <f>SUM(F23,F7)*0.195</f>
        <v>4701102.12</v>
      </c>
      <c r="G26" s="310">
        <f t="shared" si="0"/>
        <v>4746863.8</v>
      </c>
      <c r="H26" s="310">
        <f t="shared" si="0"/>
        <v>3188584</v>
      </c>
      <c r="I26" s="438">
        <f t="shared" si="9"/>
        <v>0.67172434987496377</v>
      </c>
      <c r="J26" s="310">
        <f t="shared" si="3"/>
        <v>1558279.7999999998</v>
      </c>
      <c r="K26" s="273">
        <v>4113372</v>
      </c>
      <c r="L26" s="273">
        <v>4050410.8</v>
      </c>
      <c r="M26" s="273">
        <v>2664951</v>
      </c>
      <c r="N26" s="273">
        <v>577980</v>
      </c>
      <c r="O26" s="273">
        <v>598524</v>
      </c>
      <c r="P26" s="273">
        <v>425704</v>
      </c>
      <c r="Q26" s="274"/>
      <c r="R26" s="274">
        <v>97929</v>
      </c>
      <c r="S26" s="274">
        <v>97929</v>
      </c>
      <c r="T26" s="434">
        <v>335838</v>
      </c>
      <c r="U26" s="434">
        <f t="shared" si="2"/>
        <v>5036940.12</v>
      </c>
      <c r="V26" s="435">
        <v>4701102</v>
      </c>
      <c r="W26" s="439">
        <v>3957328</v>
      </c>
      <c r="X26" s="439">
        <v>4499711</v>
      </c>
      <c r="Y26" s="496">
        <v>4178014</v>
      </c>
      <c r="Z26" s="498">
        <f t="shared" si="7"/>
        <v>4178014</v>
      </c>
      <c r="AA26" s="496">
        <f>1662624+207023+243306+46875+74954+17785</f>
        <v>2252567</v>
      </c>
      <c r="AB26" s="496">
        <f t="shared" si="8"/>
        <v>1925447</v>
      </c>
      <c r="AC26" s="436">
        <f t="shared" si="11"/>
        <v>53.91477864842004</v>
      </c>
    </row>
    <row r="27" spans="1:30" s="391" customFormat="1" ht="81" customHeight="1">
      <c r="A27" s="1474" t="s">
        <v>42</v>
      </c>
      <c r="B27" s="1475"/>
      <c r="C27" s="1475"/>
      <c r="D27" s="440">
        <v>27355516.800000001</v>
      </c>
      <c r="E27" s="440">
        <v>27934811.800000001</v>
      </c>
      <c r="F27" s="282">
        <f>SUM(F25,F26)</f>
        <v>30869698.120000001</v>
      </c>
      <c r="G27" s="282">
        <f t="shared" ref="G27:X27" si="16">SUM(G25,G26)</f>
        <v>27815091.800000001</v>
      </c>
      <c r="H27" s="282">
        <f t="shared" si="16"/>
        <v>19111081</v>
      </c>
      <c r="I27" s="282">
        <f t="shared" si="16"/>
        <v>36.036433776582463</v>
      </c>
      <c r="J27" s="282">
        <f t="shared" si="16"/>
        <v>8704010.8000000007</v>
      </c>
      <c r="K27" s="282">
        <f t="shared" si="16"/>
        <v>27005968</v>
      </c>
      <c r="L27" s="282">
        <f t="shared" si="16"/>
        <v>23638473.800000001</v>
      </c>
      <c r="M27" s="282">
        <f t="shared" si="16"/>
        <v>15881343</v>
      </c>
      <c r="N27" s="282">
        <f t="shared" si="16"/>
        <v>3853980</v>
      </c>
      <c r="O27" s="282">
        <f t="shared" si="16"/>
        <v>3597324</v>
      </c>
      <c r="P27" s="282">
        <f t="shared" si="16"/>
        <v>2650444</v>
      </c>
      <c r="Q27" s="282">
        <f t="shared" si="16"/>
        <v>0</v>
      </c>
      <c r="R27" s="282">
        <f t="shared" si="16"/>
        <v>579294</v>
      </c>
      <c r="S27" s="282">
        <f t="shared" si="16"/>
        <v>579294</v>
      </c>
      <c r="T27" s="282">
        <f t="shared" si="16"/>
        <v>2205697</v>
      </c>
      <c r="U27" s="282">
        <f t="shared" si="2"/>
        <v>33075395.120000001</v>
      </c>
      <c r="V27" s="282">
        <f t="shared" si="16"/>
        <v>30964698</v>
      </c>
      <c r="W27" s="275">
        <f t="shared" si="16"/>
        <v>26162278</v>
      </c>
      <c r="X27" s="275">
        <f t="shared" si="16"/>
        <v>29886828</v>
      </c>
      <c r="Y27" s="520">
        <f>SUM(Y25,Y26)</f>
        <v>39388583</v>
      </c>
      <c r="Z27" s="522">
        <f>SUM(Z25:Z26)</f>
        <v>39946681</v>
      </c>
      <c r="AA27" s="520">
        <f>SUM(AA25,AA26)</f>
        <v>18062705</v>
      </c>
      <c r="AB27" s="521">
        <f>Z27-AA27</f>
        <v>21883976</v>
      </c>
      <c r="AC27" s="529">
        <f t="shared" si="11"/>
        <v>45.217035678133058</v>
      </c>
      <c r="AD27" s="408"/>
    </row>
    <row r="28" spans="1:30" s="391" customFormat="1">
      <c r="A28" s="390">
        <v>21</v>
      </c>
      <c r="B28" s="272" t="s">
        <v>43</v>
      </c>
      <c r="C28" s="271" t="s">
        <v>44</v>
      </c>
      <c r="D28" s="433">
        <v>250000</v>
      </c>
      <c r="E28" s="433">
        <v>250000</v>
      </c>
      <c r="F28" s="441">
        <f>SUM(F29:F33)</f>
        <v>250000</v>
      </c>
      <c r="G28" s="442">
        <f t="shared" si="0"/>
        <v>250000</v>
      </c>
      <c r="H28" s="442">
        <f t="shared" si="0"/>
        <v>37810</v>
      </c>
      <c r="I28" s="273">
        <f t="shared" ref="I28:S28" si="17">SUM(I29:I33)</f>
        <v>0</v>
      </c>
      <c r="J28" s="273">
        <f t="shared" si="17"/>
        <v>212190</v>
      </c>
      <c r="K28" s="273">
        <f t="shared" si="17"/>
        <v>200000</v>
      </c>
      <c r="L28" s="273">
        <f t="shared" si="17"/>
        <v>207000</v>
      </c>
      <c r="M28" s="273">
        <f t="shared" si="17"/>
        <v>37810</v>
      </c>
      <c r="N28" s="273">
        <f t="shared" si="17"/>
        <v>50000</v>
      </c>
      <c r="O28" s="273">
        <f t="shared" si="17"/>
        <v>43000</v>
      </c>
      <c r="P28" s="273">
        <f t="shared" si="17"/>
        <v>0</v>
      </c>
      <c r="Q28" s="274">
        <f t="shared" si="17"/>
        <v>0</v>
      </c>
      <c r="R28" s="274">
        <f t="shared" si="17"/>
        <v>0</v>
      </c>
      <c r="S28" s="274">
        <f t="shared" si="17"/>
        <v>0</v>
      </c>
      <c r="T28" s="434">
        <f t="shared" ref="T28:T33" si="18">V28-F28</f>
        <v>0</v>
      </c>
      <c r="U28" s="434">
        <f t="shared" si="2"/>
        <v>250000</v>
      </c>
      <c r="V28" s="435">
        <v>250000</v>
      </c>
      <c r="W28" s="439">
        <v>132170</v>
      </c>
      <c r="X28" s="439">
        <v>275627</v>
      </c>
      <c r="Y28" s="496">
        <v>100000</v>
      </c>
      <c r="Z28" s="498">
        <v>15358</v>
      </c>
      <c r="AA28" s="496">
        <v>0</v>
      </c>
      <c r="AB28" s="496">
        <f t="shared" si="8"/>
        <v>15358</v>
      </c>
      <c r="AC28" s="495">
        <f t="shared" si="11"/>
        <v>0</v>
      </c>
    </row>
    <row r="29" spans="1:30">
      <c r="A29" s="389">
        <v>22</v>
      </c>
      <c r="B29" s="287" t="s">
        <v>45</v>
      </c>
      <c r="C29" s="262"/>
      <c r="D29" s="428">
        <v>0</v>
      </c>
      <c r="E29" s="428">
        <v>0</v>
      </c>
      <c r="F29" s="269">
        <f>SUM(K29,N29,Q29,)</f>
        <v>0</v>
      </c>
      <c r="G29" s="266">
        <f t="shared" si="0"/>
        <v>0</v>
      </c>
      <c r="H29" s="266">
        <f t="shared" si="0"/>
        <v>37810</v>
      </c>
      <c r="I29" s="429"/>
      <c r="J29" s="264">
        <f t="shared" si="3"/>
        <v>-37810</v>
      </c>
      <c r="K29" s="264"/>
      <c r="L29" s="264">
        <f t="shared" si="4"/>
        <v>0</v>
      </c>
      <c r="M29" s="264">
        <v>37810</v>
      </c>
      <c r="N29" s="294"/>
      <c r="O29" s="264">
        <f t="shared" si="5"/>
        <v>0</v>
      </c>
      <c r="P29" s="262"/>
      <c r="Q29" s="266"/>
      <c r="R29" s="266"/>
      <c r="S29" s="266"/>
      <c r="T29" s="430">
        <f t="shared" si="18"/>
        <v>0</v>
      </c>
      <c r="U29" s="430">
        <f t="shared" si="2"/>
        <v>0</v>
      </c>
      <c r="V29" s="430"/>
      <c r="W29" s="266"/>
      <c r="X29" s="266">
        <v>275627</v>
      </c>
      <c r="Y29" s="503">
        <f t="shared" si="6"/>
        <v>0</v>
      </c>
      <c r="Z29" s="497">
        <f t="shared" si="7"/>
        <v>0</v>
      </c>
      <c r="AA29" s="503">
        <v>0</v>
      </c>
      <c r="AB29" s="503">
        <f t="shared" si="8"/>
        <v>0</v>
      </c>
      <c r="AC29" s="431"/>
    </row>
    <row r="30" spans="1:30">
      <c r="A30" s="389">
        <v>23</v>
      </c>
      <c r="B30" s="287" t="s">
        <v>46</v>
      </c>
      <c r="C30" s="262"/>
      <c r="D30" s="428">
        <v>0</v>
      </c>
      <c r="E30" s="428">
        <v>0</v>
      </c>
      <c r="F30" s="269">
        <f>SUM(K30,N30,Q30,)</f>
        <v>0</v>
      </c>
      <c r="G30" s="266">
        <f t="shared" si="0"/>
        <v>0</v>
      </c>
      <c r="H30" s="266">
        <f t="shared" si="0"/>
        <v>0</v>
      </c>
      <c r="I30" s="429"/>
      <c r="J30" s="264">
        <f t="shared" si="3"/>
        <v>0</v>
      </c>
      <c r="K30" s="264"/>
      <c r="L30" s="264">
        <f t="shared" si="4"/>
        <v>0</v>
      </c>
      <c r="M30" s="264"/>
      <c r="N30" s="294"/>
      <c r="O30" s="264">
        <f t="shared" si="5"/>
        <v>0</v>
      </c>
      <c r="P30" s="262"/>
      <c r="Q30" s="266"/>
      <c r="R30" s="266"/>
      <c r="S30" s="266"/>
      <c r="T30" s="430">
        <f t="shared" si="18"/>
        <v>0</v>
      </c>
      <c r="U30" s="430">
        <f t="shared" si="2"/>
        <v>0</v>
      </c>
      <c r="V30" s="430"/>
      <c r="W30" s="266"/>
      <c r="X30" s="266"/>
      <c r="Y30" s="503">
        <f t="shared" si="6"/>
        <v>0</v>
      </c>
      <c r="Z30" s="497">
        <f t="shared" si="7"/>
        <v>0</v>
      </c>
      <c r="AA30" s="503">
        <v>0</v>
      </c>
      <c r="AB30" s="503">
        <f t="shared" si="8"/>
        <v>0</v>
      </c>
      <c r="AC30" s="431"/>
    </row>
    <row r="31" spans="1:30" ht="30">
      <c r="A31" s="389">
        <v>24</v>
      </c>
      <c r="B31" s="287" t="s">
        <v>925</v>
      </c>
      <c r="C31" s="262"/>
      <c r="D31" s="428">
        <v>0</v>
      </c>
      <c r="E31" s="428">
        <v>0</v>
      </c>
      <c r="F31" s="269">
        <f>SUM(K31,N31,Q31,)</f>
        <v>0</v>
      </c>
      <c r="G31" s="266">
        <f t="shared" si="0"/>
        <v>0</v>
      </c>
      <c r="H31" s="266">
        <f t="shared" si="0"/>
        <v>0</v>
      </c>
      <c r="I31" s="429"/>
      <c r="J31" s="264">
        <f t="shared" si="3"/>
        <v>0</v>
      </c>
      <c r="K31" s="264"/>
      <c r="L31" s="264">
        <f t="shared" si="4"/>
        <v>0</v>
      </c>
      <c r="M31" s="264"/>
      <c r="N31" s="294"/>
      <c r="O31" s="264">
        <f t="shared" si="5"/>
        <v>0</v>
      </c>
      <c r="P31" s="262"/>
      <c r="Q31" s="266"/>
      <c r="R31" s="266"/>
      <c r="S31" s="266"/>
      <c r="T31" s="430">
        <f t="shared" si="18"/>
        <v>0</v>
      </c>
      <c r="U31" s="430">
        <f t="shared" si="2"/>
        <v>0</v>
      </c>
      <c r="V31" s="430"/>
      <c r="W31" s="266"/>
      <c r="X31" s="266"/>
      <c r="Y31" s="503">
        <f t="shared" si="6"/>
        <v>0</v>
      </c>
      <c r="Z31" s="497">
        <f t="shared" si="7"/>
        <v>0</v>
      </c>
      <c r="AA31" s="503">
        <v>0</v>
      </c>
      <c r="AB31" s="503">
        <f t="shared" si="8"/>
        <v>0</v>
      </c>
      <c r="AC31" s="431"/>
    </row>
    <row r="32" spans="1:30">
      <c r="A32" s="389">
        <v>25</v>
      </c>
      <c r="B32" s="287" t="s">
        <v>47</v>
      </c>
      <c r="C32" s="262"/>
      <c r="D32" s="428">
        <v>0</v>
      </c>
      <c r="E32" s="428">
        <v>0</v>
      </c>
      <c r="F32" s="269">
        <f>SUM(K32,N32,Q32,)</f>
        <v>0</v>
      </c>
      <c r="G32" s="266">
        <f t="shared" si="0"/>
        <v>0</v>
      </c>
      <c r="H32" s="266">
        <f t="shared" si="0"/>
        <v>0</v>
      </c>
      <c r="I32" s="429"/>
      <c r="J32" s="264">
        <f t="shared" si="3"/>
        <v>0</v>
      </c>
      <c r="K32" s="264"/>
      <c r="L32" s="264">
        <f t="shared" si="4"/>
        <v>0</v>
      </c>
      <c r="M32" s="264"/>
      <c r="N32" s="294"/>
      <c r="O32" s="264">
        <f t="shared" si="5"/>
        <v>0</v>
      </c>
      <c r="P32" s="262"/>
      <c r="Q32" s="266"/>
      <c r="R32" s="266"/>
      <c r="S32" s="266"/>
      <c r="T32" s="430">
        <f t="shared" si="18"/>
        <v>0</v>
      </c>
      <c r="U32" s="430">
        <f t="shared" si="2"/>
        <v>0</v>
      </c>
      <c r="V32" s="430"/>
      <c r="W32" s="266"/>
      <c r="X32" s="266"/>
      <c r="Y32" s="503">
        <f t="shared" si="6"/>
        <v>0</v>
      </c>
      <c r="Z32" s="497">
        <f t="shared" si="7"/>
        <v>0</v>
      </c>
      <c r="AA32" s="503">
        <v>0</v>
      </c>
      <c r="AB32" s="503">
        <f t="shared" si="8"/>
        <v>0</v>
      </c>
      <c r="AC32" s="431"/>
    </row>
    <row r="33" spans="1:29">
      <c r="A33" s="389">
        <v>26</v>
      </c>
      <c r="B33" s="287" t="s">
        <v>151</v>
      </c>
      <c r="C33" s="262"/>
      <c r="D33" s="428">
        <v>250000</v>
      </c>
      <c r="E33" s="428">
        <v>250000</v>
      </c>
      <c r="F33" s="269">
        <f>SUM(K33,N33,Q33,)</f>
        <v>250000</v>
      </c>
      <c r="G33" s="266">
        <f t="shared" si="0"/>
        <v>250000</v>
      </c>
      <c r="H33" s="266">
        <f t="shared" si="0"/>
        <v>0</v>
      </c>
      <c r="I33" s="429">
        <f t="shared" si="9"/>
        <v>0</v>
      </c>
      <c r="J33" s="264">
        <f t="shared" si="3"/>
        <v>250000</v>
      </c>
      <c r="K33" s="264">
        <v>200000</v>
      </c>
      <c r="L33" s="264">
        <v>207000</v>
      </c>
      <c r="M33" s="264"/>
      <c r="N33" s="294">
        <v>50000</v>
      </c>
      <c r="O33" s="264">
        <v>43000</v>
      </c>
      <c r="P33" s="262"/>
      <c r="Q33" s="266"/>
      <c r="R33" s="266"/>
      <c r="S33" s="266"/>
      <c r="T33" s="430">
        <f t="shared" si="18"/>
        <v>-250000</v>
      </c>
      <c r="U33" s="430">
        <f t="shared" si="2"/>
        <v>0</v>
      </c>
      <c r="V33" s="430"/>
      <c r="W33" s="266"/>
      <c r="X33" s="266"/>
      <c r="Y33" s="503">
        <f t="shared" si="6"/>
        <v>0</v>
      </c>
      <c r="Z33" s="497">
        <f t="shared" si="7"/>
        <v>0</v>
      </c>
      <c r="AA33" s="503">
        <v>0</v>
      </c>
      <c r="AB33" s="503">
        <f t="shared" si="8"/>
        <v>0</v>
      </c>
      <c r="AC33" s="431"/>
    </row>
    <row r="34" spans="1:29" s="391" customFormat="1">
      <c r="A34" s="390">
        <v>27</v>
      </c>
      <c r="B34" s="272" t="s">
        <v>48</v>
      </c>
      <c r="C34" s="271" t="s">
        <v>49</v>
      </c>
      <c r="D34" s="433">
        <v>650000</v>
      </c>
      <c r="E34" s="433">
        <v>976871</v>
      </c>
      <c r="F34" s="441">
        <f>SUM(F35:F42)</f>
        <v>650000</v>
      </c>
      <c r="G34" s="442">
        <f t="shared" si="0"/>
        <v>976871</v>
      </c>
      <c r="H34" s="442">
        <f t="shared" si="0"/>
        <v>300310</v>
      </c>
      <c r="I34" s="273">
        <f t="shared" ref="I34:S34" si="19">SUM(I35:I42)</f>
        <v>0.44140000000000001</v>
      </c>
      <c r="J34" s="273">
        <f t="shared" si="19"/>
        <v>676561</v>
      </c>
      <c r="K34" s="273">
        <f t="shared" si="19"/>
        <v>570000</v>
      </c>
      <c r="L34" s="273">
        <f t="shared" si="19"/>
        <v>570000</v>
      </c>
      <c r="M34" s="273">
        <f t="shared" si="19"/>
        <v>286910</v>
      </c>
      <c r="N34" s="273">
        <f t="shared" si="19"/>
        <v>80000</v>
      </c>
      <c r="O34" s="273">
        <f t="shared" si="19"/>
        <v>80000</v>
      </c>
      <c r="P34" s="273">
        <f t="shared" si="19"/>
        <v>0</v>
      </c>
      <c r="Q34" s="274">
        <f t="shared" si="19"/>
        <v>0</v>
      </c>
      <c r="R34" s="274">
        <f t="shared" si="19"/>
        <v>326871</v>
      </c>
      <c r="S34" s="274">
        <f t="shared" si="19"/>
        <v>13400</v>
      </c>
      <c r="T34" s="434">
        <f>V34-F34+20309</f>
        <v>-691</v>
      </c>
      <c r="U34" s="434">
        <f t="shared" si="2"/>
        <v>649309</v>
      </c>
      <c r="V34" s="435">
        <v>629000</v>
      </c>
      <c r="W34" s="439">
        <v>346130</v>
      </c>
      <c r="X34" s="439">
        <v>441918</v>
      </c>
      <c r="Y34" s="496">
        <v>540000</v>
      </c>
      <c r="Z34" s="498">
        <f>SUM(Y34)</f>
        <v>540000</v>
      </c>
      <c r="AA34" s="496">
        <f>SUM(AA35:AA43)</f>
        <v>414982</v>
      </c>
      <c r="AB34" s="496">
        <f t="shared" si="8"/>
        <v>125018</v>
      </c>
      <c r="AC34" s="436">
        <f t="shared" si="11"/>
        <v>76.848518518518517</v>
      </c>
    </row>
    <row r="35" spans="1:29">
      <c r="A35" s="389">
        <v>28</v>
      </c>
      <c r="B35" s="287" t="s">
        <v>50</v>
      </c>
      <c r="C35" s="262"/>
      <c r="D35" s="428">
        <v>0</v>
      </c>
      <c r="E35" s="428">
        <v>326871</v>
      </c>
      <c r="F35" s="269">
        <f t="shared" ref="F35:H58" si="20">SUM(K35,N35,Q35,)</f>
        <v>0</v>
      </c>
      <c r="G35" s="266">
        <f t="shared" si="0"/>
        <v>326871</v>
      </c>
      <c r="H35" s="266">
        <f t="shared" si="0"/>
        <v>13400</v>
      </c>
      <c r="I35" s="429"/>
      <c r="J35" s="264">
        <f t="shared" si="3"/>
        <v>313471</v>
      </c>
      <c r="K35" s="264"/>
      <c r="L35" s="264">
        <f t="shared" si="4"/>
        <v>0</v>
      </c>
      <c r="M35" s="264"/>
      <c r="N35" s="294"/>
      <c r="O35" s="264">
        <f t="shared" si="5"/>
        <v>0</v>
      </c>
      <c r="P35" s="262"/>
      <c r="Q35" s="266"/>
      <c r="R35" s="266">
        <f>313471+13400</f>
        <v>326871</v>
      </c>
      <c r="S35" s="266">
        <v>13400</v>
      </c>
      <c r="T35" s="430">
        <f t="shared" ref="T35:T42" si="21">V35-F35</f>
        <v>0</v>
      </c>
      <c r="U35" s="430">
        <f t="shared" si="2"/>
        <v>0</v>
      </c>
      <c r="V35" s="430"/>
      <c r="W35" s="266"/>
      <c r="X35" s="266"/>
      <c r="Y35" s="503">
        <f t="shared" si="6"/>
        <v>0</v>
      </c>
      <c r="Z35" s="497">
        <f t="shared" si="7"/>
        <v>0</v>
      </c>
      <c r="AA35" s="503">
        <v>153206</v>
      </c>
      <c r="AB35" s="503"/>
      <c r="AC35" s="432"/>
    </row>
    <row r="36" spans="1:29">
      <c r="A36" s="389">
        <v>29</v>
      </c>
      <c r="B36" s="287" t="s">
        <v>51</v>
      </c>
      <c r="C36" s="262"/>
      <c r="D36" s="428">
        <v>0</v>
      </c>
      <c r="E36" s="428">
        <v>0</v>
      </c>
      <c r="F36" s="269">
        <f t="shared" si="20"/>
        <v>0</v>
      </c>
      <c r="G36" s="266">
        <f t="shared" si="0"/>
        <v>0</v>
      </c>
      <c r="H36" s="266">
        <f t="shared" si="0"/>
        <v>0</v>
      </c>
      <c r="I36" s="429"/>
      <c r="J36" s="264">
        <f t="shared" si="3"/>
        <v>0</v>
      </c>
      <c r="K36" s="264"/>
      <c r="L36" s="264">
        <f t="shared" si="4"/>
        <v>0</v>
      </c>
      <c r="M36" s="264"/>
      <c r="N36" s="294"/>
      <c r="O36" s="264">
        <f t="shared" si="5"/>
        <v>0</v>
      </c>
      <c r="P36" s="262"/>
      <c r="Q36" s="266"/>
      <c r="R36" s="266"/>
      <c r="S36" s="266"/>
      <c r="T36" s="430">
        <f t="shared" si="21"/>
        <v>0</v>
      </c>
      <c r="U36" s="430">
        <f t="shared" si="2"/>
        <v>0</v>
      </c>
      <c r="V36" s="430"/>
      <c r="W36" s="266"/>
      <c r="X36" s="266"/>
      <c r="Y36" s="503">
        <f t="shared" si="6"/>
        <v>0</v>
      </c>
      <c r="Z36" s="497">
        <f t="shared" si="7"/>
        <v>0</v>
      </c>
      <c r="AA36" s="503">
        <v>0</v>
      </c>
      <c r="AB36" s="503"/>
      <c r="AC36" s="432"/>
    </row>
    <row r="37" spans="1:29">
      <c r="A37" s="389"/>
      <c r="B37" s="287" t="s">
        <v>927</v>
      </c>
      <c r="C37" s="262"/>
      <c r="D37" s="428"/>
      <c r="E37" s="428"/>
      <c r="F37" s="269"/>
      <c r="G37" s="266"/>
      <c r="H37" s="266"/>
      <c r="I37" s="429"/>
      <c r="J37" s="264"/>
      <c r="K37" s="264"/>
      <c r="L37" s="264"/>
      <c r="M37" s="264"/>
      <c r="N37" s="294"/>
      <c r="O37" s="264"/>
      <c r="P37" s="262"/>
      <c r="Q37" s="266"/>
      <c r="R37" s="266"/>
      <c r="S37" s="266"/>
      <c r="T37" s="430"/>
      <c r="U37" s="430"/>
      <c r="V37" s="430"/>
      <c r="W37" s="266"/>
      <c r="X37" s="266"/>
      <c r="Y37" s="503">
        <v>0</v>
      </c>
      <c r="Z37" s="497">
        <v>0</v>
      </c>
      <c r="AA37" s="503">
        <v>7364</v>
      </c>
      <c r="AB37" s="503"/>
      <c r="AC37" s="432"/>
    </row>
    <row r="38" spans="1:29">
      <c r="A38" s="389"/>
      <c r="B38" s="287" t="s">
        <v>928</v>
      </c>
      <c r="C38" s="262"/>
      <c r="D38" s="428"/>
      <c r="E38" s="428"/>
      <c r="F38" s="269"/>
      <c r="G38" s="266"/>
      <c r="H38" s="266"/>
      <c r="I38" s="429"/>
      <c r="J38" s="264"/>
      <c r="K38" s="264"/>
      <c r="L38" s="264"/>
      <c r="M38" s="264"/>
      <c r="N38" s="294"/>
      <c r="O38" s="264"/>
      <c r="P38" s="262"/>
      <c r="Q38" s="266"/>
      <c r="R38" s="266"/>
      <c r="S38" s="266"/>
      <c r="T38" s="430"/>
      <c r="U38" s="430"/>
      <c r="V38" s="430"/>
      <c r="W38" s="266"/>
      <c r="X38" s="266"/>
      <c r="Y38" s="503">
        <v>0</v>
      </c>
      <c r="Z38" s="497">
        <v>0</v>
      </c>
      <c r="AA38" s="503">
        <v>70936</v>
      </c>
      <c r="AB38" s="503"/>
      <c r="AC38" s="432"/>
    </row>
    <row r="39" spans="1:29">
      <c r="A39" s="389"/>
      <c r="B39" s="287" t="s">
        <v>929</v>
      </c>
      <c r="C39" s="262"/>
      <c r="D39" s="428"/>
      <c r="E39" s="428"/>
      <c r="F39" s="269"/>
      <c r="G39" s="266"/>
      <c r="H39" s="266"/>
      <c r="I39" s="429"/>
      <c r="J39" s="264"/>
      <c r="K39" s="264"/>
      <c r="L39" s="264"/>
      <c r="M39" s="264"/>
      <c r="N39" s="294"/>
      <c r="O39" s="264"/>
      <c r="P39" s="262"/>
      <c r="Q39" s="266"/>
      <c r="R39" s="266"/>
      <c r="S39" s="266"/>
      <c r="T39" s="430"/>
      <c r="U39" s="430"/>
      <c r="V39" s="430"/>
      <c r="W39" s="266"/>
      <c r="X39" s="266"/>
      <c r="Y39" s="503">
        <v>0</v>
      </c>
      <c r="Z39" s="497">
        <v>0</v>
      </c>
      <c r="AA39" s="503">
        <v>33800</v>
      </c>
      <c r="AB39" s="503"/>
      <c r="AC39" s="432"/>
    </row>
    <row r="40" spans="1:29">
      <c r="A40" s="389">
        <v>30</v>
      </c>
      <c r="B40" s="287" t="s">
        <v>52</v>
      </c>
      <c r="C40" s="262"/>
      <c r="D40" s="428">
        <v>650000</v>
      </c>
      <c r="E40" s="428">
        <v>650000</v>
      </c>
      <c r="F40" s="269">
        <f t="shared" si="20"/>
        <v>650000</v>
      </c>
      <c r="G40" s="266">
        <f t="shared" si="0"/>
        <v>650000</v>
      </c>
      <c r="H40" s="266">
        <f t="shared" si="0"/>
        <v>286910</v>
      </c>
      <c r="I40" s="429">
        <f t="shared" si="9"/>
        <v>0.44140000000000001</v>
      </c>
      <c r="J40" s="264">
        <f t="shared" si="3"/>
        <v>363090</v>
      </c>
      <c r="K40" s="264">
        <v>570000</v>
      </c>
      <c r="L40" s="264">
        <f t="shared" si="4"/>
        <v>570000</v>
      </c>
      <c r="M40" s="264">
        <v>286910</v>
      </c>
      <c r="N40" s="294">
        <v>80000</v>
      </c>
      <c r="O40" s="264">
        <f t="shared" si="5"/>
        <v>80000</v>
      </c>
      <c r="P40" s="262"/>
      <c r="Q40" s="266"/>
      <c r="R40" s="266"/>
      <c r="S40" s="266"/>
      <c r="T40" s="430">
        <f t="shared" si="21"/>
        <v>-650000</v>
      </c>
      <c r="U40" s="430">
        <f t="shared" si="2"/>
        <v>0</v>
      </c>
      <c r="V40" s="430"/>
      <c r="W40" s="266"/>
      <c r="X40" s="266"/>
      <c r="Y40" s="503">
        <f t="shared" si="6"/>
        <v>0</v>
      </c>
      <c r="Z40" s="497">
        <f t="shared" si="7"/>
        <v>0</v>
      </c>
      <c r="AA40" s="503">
        <v>37728</v>
      </c>
      <c r="AB40" s="503"/>
      <c r="AC40" s="432"/>
    </row>
    <row r="41" spans="1:29">
      <c r="A41" s="389">
        <v>32</v>
      </c>
      <c r="B41" s="287" t="s">
        <v>926</v>
      </c>
      <c r="C41" s="262"/>
      <c r="D41" s="428">
        <v>0</v>
      </c>
      <c r="E41" s="428">
        <v>0</v>
      </c>
      <c r="F41" s="269">
        <f t="shared" si="20"/>
        <v>0</v>
      </c>
      <c r="G41" s="266">
        <f t="shared" si="20"/>
        <v>0</v>
      </c>
      <c r="H41" s="266">
        <f t="shared" si="20"/>
        <v>0</v>
      </c>
      <c r="I41" s="429"/>
      <c r="J41" s="264">
        <f t="shared" si="3"/>
        <v>0</v>
      </c>
      <c r="K41" s="264"/>
      <c r="L41" s="264">
        <f t="shared" si="4"/>
        <v>0</v>
      </c>
      <c r="M41" s="264"/>
      <c r="N41" s="294"/>
      <c r="O41" s="264">
        <f t="shared" si="5"/>
        <v>0</v>
      </c>
      <c r="P41" s="262"/>
      <c r="Q41" s="266"/>
      <c r="R41" s="266"/>
      <c r="S41" s="266"/>
      <c r="T41" s="430">
        <f t="shared" si="21"/>
        <v>0</v>
      </c>
      <c r="U41" s="430">
        <f t="shared" si="2"/>
        <v>0</v>
      </c>
      <c r="V41" s="430"/>
      <c r="W41" s="266"/>
      <c r="X41" s="266"/>
      <c r="Y41" s="503">
        <f t="shared" si="6"/>
        <v>0</v>
      </c>
      <c r="Z41" s="497">
        <f t="shared" si="7"/>
        <v>0</v>
      </c>
      <c r="AA41" s="503">
        <v>62392</v>
      </c>
      <c r="AB41" s="503"/>
      <c r="AC41" s="432"/>
    </row>
    <row r="42" spans="1:29">
      <c r="A42" s="389">
        <v>33</v>
      </c>
      <c r="B42" s="287" t="s">
        <v>54</v>
      </c>
      <c r="C42" s="262"/>
      <c r="D42" s="428">
        <v>0</v>
      </c>
      <c r="E42" s="428">
        <v>0</v>
      </c>
      <c r="F42" s="269">
        <f t="shared" si="20"/>
        <v>0</v>
      </c>
      <c r="G42" s="266">
        <f t="shared" si="20"/>
        <v>0</v>
      </c>
      <c r="H42" s="266">
        <f t="shared" si="20"/>
        <v>0</v>
      </c>
      <c r="I42" s="429"/>
      <c r="J42" s="264">
        <f t="shared" si="3"/>
        <v>0</v>
      </c>
      <c r="K42" s="264"/>
      <c r="L42" s="264">
        <f t="shared" si="4"/>
        <v>0</v>
      </c>
      <c r="M42" s="264"/>
      <c r="N42" s="294"/>
      <c r="O42" s="264">
        <f t="shared" si="5"/>
        <v>0</v>
      </c>
      <c r="P42" s="262"/>
      <c r="Q42" s="266"/>
      <c r="R42" s="266"/>
      <c r="S42" s="266"/>
      <c r="T42" s="430">
        <f t="shared" si="21"/>
        <v>0</v>
      </c>
      <c r="U42" s="430">
        <f t="shared" si="2"/>
        <v>0</v>
      </c>
      <c r="V42" s="430"/>
      <c r="W42" s="266"/>
      <c r="X42" s="266"/>
      <c r="Y42" s="503">
        <f t="shared" si="6"/>
        <v>0</v>
      </c>
      <c r="Z42" s="497">
        <f t="shared" si="7"/>
        <v>0</v>
      </c>
      <c r="AA42" s="503">
        <v>35013</v>
      </c>
      <c r="AB42" s="503"/>
      <c r="AC42" s="432"/>
    </row>
    <row r="43" spans="1:29">
      <c r="A43" s="389"/>
      <c r="B43" s="287" t="s">
        <v>930</v>
      </c>
      <c r="C43" s="262"/>
      <c r="D43" s="428"/>
      <c r="E43" s="428"/>
      <c r="F43" s="269"/>
      <c r="G43" s="266"/>
      <c r="H43" s="266"/>
      <c r="I43" s="429"/>
      <c r="J43" s="264"/>
      <c r="K43" s="264"/>
      <c r="L43" s="264"/>
      <c r="M43" s="264"/>
      <c r="N43" s="294"/>
      <c r="O43" s="264"/>
      <c r="P43" s="262"/>
      <c r="Q43" s="266"/>
      <c r="R43" s="266"/>
      <c r="S43" s="266"/>
      <c r="T43" s="430"/>
      <c r="U43" s="430"/>
      <c r="V43" s="430"/>
      <c r="W43" s="266"/>
      <c r="X43" s="266"/>
      <c r="Y43" s="503">
        <v>0</v>
      </c>
      <c r="Z43" s="497">
        <v>0</v>
      </c>
      <c r="AA43" s="503">
        <v>14543</v>
      </c>
      <c r="AB43" s="503"/>
      <c r="AC43" s="432"/>
    </row>
    <row r="44" spans="1:29" s="391" customFormat="1" ht="15.75">
      <c r="A44" s="392">
        <v>33</v>
      </c>
      <c r="B44" s="290" t="s">
        <v>55</v>
      </c>
      <c r="C44" s="289" t="s">
        <v>56</v>
      </c>
      <c r="D44" s="443">
        <v>900000</v>
      </c>
      <c r="E44" s="443">
        <v>1226871</v>
      </c>
      <c r="F44" s="316">
        <f t="shared" ref="F44:T44" si="22">SUM(F34,F28)</f>
        <v>900000</v>
      </c>
      <c r="G44" s="316">
        <f t="shared" si="22"/>
        <v>1226871</v>
      </c>
      <c r="H44" s="316">
        <f t="shared" si="22"/>
        <v>338120</v>
      </c>
      <c r="I44" s="316">
        <f t="shared" si="22"/>
        <v>0.44140000000000001</v>
      </c>
      <c r="J44" s="316">
        <f t="shared" si="22"/>
        <v>888751</v>
      </c>
      <c r="K44" s="316">
        <f t="shared" si="22"/>
        <v>770000</v>
      </c>
      <c r="L44" s="316">
        <f t="shared" si="22"/>
        <v>777000</v>
      </c>
      <c r="M44" s="316">
        <f t="shared" si="22"/>
        <v>324720</v>
      </c>
      <c r="N44" s="316">
        <f t="shared" si="22"/>
        <v>130000</v>
      </c>
      <c r="O44" s="316">
        <f t="shared" si="22"/>
        <v>123000</v>
      </c>
      <c r="P44" s="316">
        <f t="shared" si="22"/>
        <v>0</v>
      </c>
      <c r="Q44" s="316">
        <f t="shared" si="22"/>
        <v>0</v>
      </c>
      <c r="R44" s="316">
        <f t="shared" si="22"/>
        <v>326871</v>
      </c>
      <c r="S44" s="316">
        <f t="shared" si="22"/>
        <v>13400</v>
      </c>
      <c r="T44" s="316">
        <f t="shared" si="22"/>
        <v>-691</v>
      </c>
      <c r="U44" s="316">
        <f t="shared" si="2"/>
        <v>899309</v>
      </c>
      <c r="V44" s="316">
        <f>SUM(V34,V28)</f>
        <v>879000</v>
      </c>
      <c r="W44" s="316">
        <f>SUM(W34,W28)</f>
        <v>478300</v>
      </c>
      <c r="X44" s="316">
        <f>SUM(X34,X28)</f>
        <v>717545</v>
      </c>
      <c r="Y44" s="499">
        <f>SUM(Y34,Y28)</f>
        <v>640000</v>
      </c>
      <c r="Z44" s="499">
        <f>Z28+Z34</f>
        <v>555358</v>
      </c>
      <c r="AA44" s="499">
        <f>SUM(AA34,AA28)</f>
        <v>414982</v>
      </c>
      <c r="AB44" s="499">
        <f>Z44-AA44</f>
        <v>140376</v>
      </c>
      <c r="AC44" s="436">
        <f t="shared" si="11"/>
        <v>74.723331616722916</v>
      </c>
    </row>
    <row r="45" spans="1:29">
      <c r="A45" s="390">
        <v>34</v>
      </c>
      <c r="B45" s="272" t="s">
        <v>57</v>
      </c>
      <c r="C45" s="271" t="s">
        <v>58</v>
      </c>
      <c r="D45" s="433">
        <v>1308000</v>
      </c>
      <c r="E45" s="433">
        <v>1308000</v>
      </c>
      <c r="F45" s="441">
        <f>SUM(F46:F50)</f>
        <v>1000000</v>
      </c>
      <c r="G45" s="442">
        <f t="shared" si="20"/>
        <v>1055000</v>
      </c>
      <c r="H45" s="442">
        <f t="shared" si="20"/>
        <v>518025</v>
      </c>
      <c r="I45" s="273">
        <f t="shared" ref="I45:S45" si="23">SUM(I46:I50)</f>
        <v>0.49101895734597156</v>
      </c>
      <c r="J45" s="273">
        <f t="shared" si="23"/>
        <v>536975</v>
      </c>
      <c r="K45" s="273">
        <f t="shared" si="23"/>
        <v>1000000</v>
      </c>
      <c r="L45" s="273">
        <f t="shared" si="23"/>
        <v>1000000</v>
      </c>
      <c r="M45" s="273">
        <f t="shared" si="23"/>
        <v>518025</v>
      </c>
      <c r="N45" s="273">
        <f t="shared" si="23"/>
        <v>0</v>
      </c>
      <c r="O45" s="273">
        <f t="shared" si="23"/>
        <v>55000</v>
      </c>
      <c r="P45" s="273">
        <f t="shared" si="23"/>
        <v>0</v>
      </c>
      <c r="Q45" s="274">
        <f t="shared" si="23"/>
        <v>0</v>
      </c>
      <c r="R45" s="274">
        <f t="shared" si="23"/>
        <v>0</v>
      </c>
      <c r="S45" s="274">
        <f t="shared" si="23"/>
        <v>0</v>
      </c>
      <c r="T45" s="430">
        <f t="shared" ref="T45:T56" si="24">V45-F45</f>
        <v>-30000</v>
      </c>
      <c r="U45" s="430">
        <f t="shared" si="2"/>
        <v>970000</v>
      </c>
      <c r="V45" s="426">
        <v>970000</v>
      </c>
      <c r="W45" s="266">
        <v>568371</v>
      </c>
      <c r="X45" s="266">
        <v>835770</v>
      </c>
      <c r="Y45" s="496">
        <v>1203000</v>
      </c>
      <c r="Z45" s="498">
        <v>1227237</v>
      </c>
      <c r="AA45" s="496">
        <f>SUM(AA46:AA52)</f>
        <v>459170</v>
      </c>
      <c r="AB45" s="496">
        <f t="shared" si="8"/>
        <v>768067</v>
      </c>
      <c r="AC45" s="436">
        <f t="shared" si="11"/>
        <v>37.414941042357754</v>
      </c>
    </row>
    <row r="46" spans="1:29">
      <c r="A46" s="389">
        <v>35</v>
      </c>
      <c r="B46" s="293" t="s">
        <v>935</v>
      </c>
      <c r="C46" s="262"/>
      <c r="D46" s="428">
        <v>0</v>
      </c>
      <c r="E46" s="428">
        <v>0</v>
      </c>
      <c r="F46" s="269">
        <f>SUM(K46,N46,Q46,)</f>
        <v>0</v>
      </c>
      <c r="G46" s="266">
        <f t="shared" si="20"/>
        <v>0</v>
      </c>
      <c r="H46" s="266">
        <f t="shared" si="20"/>
        <v>0</v>
      </c>
      <c r="I46" s="429"/>
      <c r="J46" s="264">
        <f t="shared" si="3"/>
        <v>0</v>
      </c>
      <c r="K46" s="264"/>
      <c r="L46" s="264">
        <f t="shared" si="4"/>
        <v>0</v>
      </c>
      <c r="M46" s="264"/>
      <c r="N46" s="294"/>
      <c r="O46" s="264">
        <f t="shared" si="5"/>
        <v>0</v>
      </c>
      <c r="P46" s="262"/>
      <c r="Q46" s="266"/>
      <c r="R46" s="266"/>
      <c r="S46" s="266"/>
      <c r="T46" s="430">
        <f t="shared" si="24"/>
        <v>0</v>
      </c>
      <c r="U46" s="430">
        <f t="shared" si="2"/>
        <v>0</v>
      </c>
      <c r="V46" s="430"/>
      <c r="W46" s="266"/>
      <c r="X46" s="266"/>
      <c r="Y46" s="503">
        <f t="shared" si="6"/>
        <v>0</v>
      </c>
      <c r="Z46" s="497">
        <f t="shared" si="7"/>
        <v>0</v>
      </c>
      <c r="AA46" s="503">
        <v>25200</v>
      </c>
      <c r="AB46" s="503"/>
      <c r="AC46" s="432"/>
    </row>
    <row r="47" spans="1:29">
      <c r="A47" s="389"/>
      <c r="B47" s="293" t="s">
        <v>934</v>
      </c>
      <c r="C47" s="262"/>
      <c r="D47" s="428"/>
      <c r="E47" s="428"/>
      <c r="F47" s="269"/>
      <c r="G47" s="266"/>
      <c r="H47" s="266"/>
      <c r="I47" s="429"/>
      <c r="J47" s="264"/>
      <c r="K47" s="264"/>
      <c r="L47" s="264"/>
      <c r="M47" s="264"/>
      <c r="N47" s="294"/>
      <c r="O47" s="264"/>
      <c r="P47" s="262"/>
      <c r="Q47" s="266"/>
      <c r="R47" s="266"/>
      <c r="S47" s="266"/>
      <c r="T47" s="430"/>
      <c r="U47" s="430"/>
      <c r="V47" s="430"/>
      <c r="W47" s="266"/>
      <c r="X47" s="266"/>
      <c r="Y47" s="503">
        <v>0</v>
      </c>
      <c r="Z47" s="497">
        <v>0</v>
      </c>
      <c r="AA47" s="503">
        <v>31290</v>
      </c>
      <c r="AB47" s="503"/>
      <c r="AC47" s="432"/>
    </row>
    <row r="48" spans="1:29">
      <c r="A48" s="389"/>
      <c r="B48" s="293" t="s">
        <v>933</v>
      </c>
      <c r="C48" s="262"/>
      <c r="D48" s="428"/>
      <c r="E48" s="428"/>
      <c r="F48" s="269"/>
      <c r="G48" s="266"/>
      <c r="H48" s="266"/>
      <c r="I48" s="429"/>
      <c r="J48" s="264"/>
      <c r="K48" s="264"/>
      <c r="L48" s="264"/>
      <c r="M48" s="264"/>
      <c r="N48" s="294"/>
      <c r="O48" s="264"/>
      <c r="P48" s="262"/>
      <c r="Q48" s="266"/>
      <c r="R48" s="266"/>
      <c r="S48" s="266"/>
      <c r="T48" s="430"/>
      <c r="U48" s="430"/>
      <c r="V48" s="430"/>
      <c r="W48" s="266"/>
      <c r="X48" s="266"/>
      <c r="Y48" s="503">
        <v>0</v>
      </c>
      <c r="Z48" s="497">
        <v>0</v>
      </c>
      <c r="AA48" s="503">
        <v>17000</v>
      </c>
      <c r="AB48" s="503"/>
      <c r="AC48" s="432"/>
    </row>
    <row r="49" spans="1:30">
      <c r="A49" s="389"/>
      <c r="B49" s="293" t="s">
        <v>932</v>
      </c>
      <c r="C49" s="262"/>
      <c r="D49" s="428"/>
      <c r="E49" s="428"/>
      <c r="F49" s="269"/>
      <c r="G49" s="266"/>
      <c r="H49" s="266"/>
      <c r="I49" s="429"/>
      <c r="J49" s="264"/>
      <c r="K49" s="264"/>
      <c r="L49" s="264"/>
      <c r="M49" s="264"/>
      <c r="N49" s="294"/>
      <c r="O49" s="264"/>
      <c r="P49" s="262"/>
      <c r="Q49" s="266"/>
      <c r="R49" s="266"/>
      <c r="S49" s="266"/>
      <c r="T49" s="430"/>
      <c r="U49" s="430"/>
      <c r="V49" s="430"/>
      <c r="W49" s="266"/>
      <c r="X49" s="266"/>
      <c r="Y49" s="503">
        <v>0</v>
      </c>
      <c r="Z49" s="497">
        <v>0</v>
      </c>
      <c r="AA49" s="503">
        <v>200000</v>
      </c>
      <c r="AB49" s="503"/>
      <c r="AC49" s="432"/>
    </row>
    <row r="50" spans="1:30">
      <c r="A50" s="389">
        <v>36</v>
      </c>
      <c r="B50" s="293" t="s">
        <v>931</v>
      </c>
      <c r="C50" s="262"/>
      <c r="D50" s="428">
        <v>1308000</v>
      </c>
      <c r="E50" s="428">
        <v>1308000</v>
      </c>
      <c r="F50" s="269">
        <v>1000000</v>
      </c>
      <c r="G50" s="266">
        <f t="shared" si="20"/>
        <v>1055000</v>
      </c>
      <c r="H50" s="266">
        <f t="shared" si="20"/>
        <v>518025</v>
      </c>
      <c r="I50" s="429">
        <f t="shared" si="9"/>
        <v>0.49101895734597156</v>
      </c>
      <c r="J50" s="264">
        <f t="shared" si="3"/>
        <v>536975</v>
      </c>
      <c r="K50" s="264">
        <v>1000000</v>
      </c>
      <c r="L50" s="264">
        <f t="shared" si="4"/>
        <v>1000000</v>
      </c>
      <c r="M50" s="264">
        <v>518025</v>
      </c>
      <c r="N50" s="294">
        <v>0</v>
      </c>
      <c r="O50" s="264">
        <v>55000</v>
      </c>
      <c r="P50" s="262"/>
      <c r="Q50" s="266"/>
      <c r="R50" s="266"/>
      <c r="S50" s="266"/>
      <c r="T50" s="430">
        <f t="shared" si="24"/>
        <v>-1000000</v>
      </c>
      <c r="U50" s="430">
        <f t="shared" si="2"/>
        <v>0</v>
      </c>
      <c r="V50" s="430"/>
      <c r="W50" s="266"/>
      <c r="X50" s="266"/>
      <c r="Y50" s="503">
        <f t="shared" si="6"/>
        <v>0</v>
      </c>
      <c r="Z50" s="497">
        <f t="shared" si="7"/>
        <v>0</v>
      </c>
      <c r="AA50" s="503">
        <v>46917</v>
      </c>
      <c r="AB50" s="503"/>
      <c r="AC50" s="432"/>
    </row>
    <row r="51" spans="1:30">
      <c r="A51" s="389"/>
      <c r="B51" s="293" t="s">
        <v>435</v>
      </c>
      <c r="C51" s="262"/>
      <c r="D51" s="428"/>
      <c r="E51" s="428"/>
      <c r="F51" s="269"/>
      <c r="G51" s="266"/>
      <c r="H51" s="266"/>
      <c r="I51" s="429"/>
      <c r="J51" s="264"/>
      <c r="K51" s="264"/>
      <c r="L51" s="264"/>
      <c r="M51" s="264"/>
      <c r="N51" s="294"/>
      <c r="O51" s="264"/>
      <c r="P51" s="262"/>
      <c r="Q51" s="266"/>
      <c r="R51" s="266"/>
      <c r="S51" s="266"/>
      <c r="T51" s="430"/>
      <c r="U51" s="430"/>
      <c r="V51" s="500"/>
      <c r="W51" s="266"/>
      <c r="X51" s="266"/>
      <c r="Y51" s="503">
        <v>0</v>
      </c>
      <c r="Z51" s="497">
        <v>0</v>
      </c>
      <c r="AA51" s="503">
        <v>90675</v>
      </c>
      <c r="AB51" s="503"/>
      <c r="AC51" s="432"/>
    </row>
    <row r="52" spans="1:30">
      <c r="A52" s="389"/>
      <c r="B52" s="293" t="s">
        <v>936</v>
      </c>
      <c r="C52" s="262"/>
      <c r="D52" s="428"/>
      <c r="E52" s="428"/>
      <c r="F52" s="269"/>
      <c r="G52" s="266"/>
      <c r="H52" s="266"/>
      <c r="I52" s="429"/>
      <c r="J52" s="264"/>
      <c r="K52" s="264"/>
      <c r="L52" s="264"/>
      <c r="M52" s="264"/>
      <c r="N52" s="294"/>
      <c r="O52" s="264"/>
      <c r="P52" s="262"/>
      <c r="Q52" s="266"/>
      <c r="R52" s="266"/>
      <c r="S52" s="266"/>
      <c r="T52" s="430"/>
      <c r="U52" s="430"/>
      <c r="V52" s="500"/>
      <c r="W52" s="266"/>
      <c r="X52" s="266"/>
      <c r="Y52" s="503">
        <v>0</v>
      </c>
      <c r="Z52" s="497">
        <v>0</v>
      </c>
      <c r="AA52" s="503">
        <f>40000+8088</f>
        <v>48088</v>
      </c>
      <c r="AB52" s="503"/>
      <c r="AC52" s="432"/>
    </row>
    <row r="53" spans="1:30">
      <c r="A53" s="390">
        <v>37</v>
      </c>
      <c r="B53" s="272" t="s">
        <v>59</v>
      </c>
      <c r="C53" s="271" t="s">
        <v>60</v>
      </c>
      <c r="D53" s="433">
        <v>408000</v>
      </c>
      <c r="E53" s="433">
        <v>408000</v>
      </c>
      <c r="F53" s="441">
        <f>SUM(F54:F56)</f>
        <v>408000</v>
      </c>
      <c r="G53" s="442">
        <f t="shared" si="20"/>
        <v>408000</v>
      </c>
      <c r="H53" s="442">
        <f t="shared" si="20"/>
        <v>313295</v>
      </c>
      <c r="I53" s="273">
        <f t="shared" ref="I53:S53" si="25">SUM(I54:I56)</f>
        <v>0.76787990196078426</v>
      </c>
      <c r="J53" s="273">
        <f t="shared" si="25"/>
        <v>94705</v>
      </c>
      <c r="K53" s="273">
        <f t="shared" si="25"/>
        <v>356000</v>
      </c>
      <c r="L53" s="273">
        <f t="shared" si="25"/>
        <v>356000</v>
      </c>
      <c r="M53" s="273">
        <f t="shared" si="25"/>
        <v>313295</v>
      </c>
      <c r="N53" s="273">
        <f t="shared" si="25"/>
        <v>52000</v>
      </c>
      <c r="O53" s="273">
        <f t="shared" si="25"/>
        <v>52000</v>
      </c>
      <c r="P53" s="273">
        <f t="shared" si="25"/>
        <v>0</v>
      </c>
      <c r="Q53" s="274">
        <f t="shared" si="25"/>
        <v>0</v>
      </c>
      <c r="R53" s="274">
        <f t="shared" si="25"/>
        <v>0</v>
      </c>
      <c r="S53" s="274">
        <f t="shared" si="25"/>
        <v>0</v>
      </c>
      <c r="T53" s="430">
        <f t="shared" si="24"/>
        <v>0</v>
      </c>
      <c r="U53" s="430">
        <f t="shared" si="2"/>
        <v>408000</v>
      </c>
      <c r="V53" s="426">
        <v>408000</v>
      </c>
      <c r="W53" s="266">
        <v>374507</v>
      </c>
      <c r="X53" s="266">
        <v>440087</v>
      </c>
      <c r="Y53" s="496">
        <v>600000</v>
      </c>
      <c r="Z53" s="498">
        <f t="shared" si="7"/>
        <v>600000</v>
      </c>
      <c r="AA53" s="496">
        <f>SUM(AA54:AA56)</f>
        <v>215941</v>
      </c>
      <c r="AB53" s="496">
        <f t="shared" si="8"/>
        <v>384059</v>
      </c>
      <c r="AC53" s="436">
        <f t="shared" si="11"/>
        <v>35.990166666666667</v>
      </c>
    </row>
    <row r="54" spans="1:30">
      <c r="A54" s="389">
        <v>38</v>
      </c>
      <c r="B54" s="287" t="s">
        <v>937</v>
      </c>
      <c r="C54" s="262"/>
      <c r="D54" s="428">
        <v>0</v>
      </c>
      <c r="E54" s="428">
        <v>0</v>
      </c>
      <c r="F54" s="269">
        <f>SUM(K54,N54,Q54,)</f>
        <v>0</v>
      </c>
      <c r="G54" s="266">
        <f t="shared" si="20"/>
        <v>0</v>
      </c>
      <c r="H54" s="266">
        <f t="shared" si="20"/>
        <v>0</v>
      </c>
      <c r="I54" s="429"/>
      <c r="J54" s="264">
        <f t="shared" si="3"/>
        <v>0</v>
      </c>
      <c r="K54" s="264"/>
      <c r="L54" s="264">
        <f t="shared" si="4"/>
        <v>0</v>
      </c>
      <c r="M54" s="264"/>
      <c r="N54" s="294"/>
      <c r="O54" s="264">
        <f t="shared" si="5"/>
        <v>0</v>
      </c>
      <c r="P54" s="262"/>
      <c r="Q54" s="266"/>
      <c r="R54" s="266"/>
      <c r="S54" s="266"/>
      <c r="T54" s="430">
        <f t="shared" si="24"/>
        <v>0</v>
      </c>
      <c r="U54" s="430">
        <f t="shared" si="2"/>
        <v>0</v>
      </c>
      <c r="V54" s="430"/>
      <c r="W54" s="266"/>
      <c r="X54" s="266"/>
      <c r="Y54" s="503">
        <f t="shared" si="6"/>
        <v>0</v>
      </c>
      <c r="Z54" s="497">
        <f t="shared" si="7"/>
        <v>0</v>
      </c>
      <c r="AA54" s="503">
        <v>203634</v>
      </c>
      <c r="AB54" s="503"/>
      <c r="AC54" s="432"/>
    </row>
    <row r="55" spans="1:30">
      <c r="A55" s="389">
        <v>39</v>
      </c>
      <c r="B55" s="287" t="s">
        <v>938</v>
      </c>
      <c r="C55" s="262"/>
      <c r="D55" s="428">
        <v>0</v>
      </c>
      <c r="E55" s="428">
        <v>0</v>
      </c>
      <c r="F55" s="269">
        <f>SUM(K55,N55,Q55,)</f>
        <v>0</v>
      </c>
      <c r="G55" s="266">
        <f t="shared" si="20"/>
        <v>0</v>
      </c>
      <c r="H55" s="266">
        <f t="shared" si="20"/>
        <v>0</v>
      </c>
      <c r="I55" s="429"/>
      <c r="J55" s="264">
        <f t="shared" si="3"/>
        <v>0</v>
      </c>
      <c r="K55" s="264"/>
      <c r="L55" s="264">
        <f t="shared" si="4"/>
        <v>0</v>
      </c>
      <c r="M55" s="264"/>
      <c r="N55" s="294"/>
      <c r="O55" s="264">
        <f t="shared" si="5"/>
        <v>0</v>
      </c>
      <c r="P55" s="262"/>
      <c r="Q55" s="266"/>
      <c r="R55" s="266"/>
      <c r="S55" s="266"/>
      <c r="T55" s="430">
        <f t="shared" si="24"/>
        <v>0</v>
      </c>
      <c r="U55" s="430">
        <f t="shared" si="2"/>
        <v>0</v>
      </c>
      <c r="V55" s="430"/>
      <c r="W55" s="266"/>
      <c r="X55" s="266"/>
      <c r="Y55" s="503">
        <f t="shared" si="6"/>
        <v>0</v>
      </c>
      <c r="Z55" s="497">
        <f t="shared" si="7"/>
        <v>0</v>
      </c>
      <c r="AA55" s="503">
        <v>12307</v>
      </c>
      <c r="AB55" s="503"/>
      <c r="AC55" s="432"/>
    </row>
    <row r="56" spans="1:30">
      <c r="A56" s="389">
        <v>40</v>
      </c>
      <c r="B56" s="287" t="s">
        <v>61</v>
      </c>
      <c r="C56" s="262"/>
      <c r="D56" s="428">
        <v>408000</v>
      </c>
      <c r="E56" s="428">
        <v>408000</v>
      </c>
      <c r="F56" s="269">
        <f>SUM(K56,N56,Q56,)</f>
        <v>408000</v>
      </c>
      <c r="G56" s="266">
        <f t="shared" si="20"/>
        <v>408000</v>
      </c>
      <c r="H56" s="266">
        <f t="shared" si="20"/>
        <v>313295</v>
      </c>
      <c r="I56" s="429">
        <f t="shared" si="9"/>
        <v>0.76787990196078426</v>
      </c>
      <c r="J56" s="264">
        <f t="shared" si="3"/>
        <v>94705</v>
      </c>
      <c r="K56" s="264">
        <v>356000</v>
      </c>
      <c r="L56" s="264">
        <f t="shared" si="4"/>
        <v>356000</v>
      </c>
      <c r="M56" s="264">
        <v>313295</v>
      </c>
      <c r="N56" s="294">
        <v>52000</v>
      </c>
      <c r="O56" s="264">
        <f t="shared" si="5"/>
        <v>52000</v>
      </c>
      <c r="P56" s="262"/>
      <c r="Q56" s="266"/>
      <c r="R56" s="266"/>
      <c r="S56" s="266"/>
      <c r="T56" s="430">
        <f t="shared" si="24"/>
        <v>-408000</v>
      </c>
      <c r="U56" s="430">
        <f t="shared" si="2"/>
        <v>0</v>
      </c>
      <c r="V56" s="430"/>
      <c r="W56" s="266"/>
      <c r="X56" s="266"/>
      <c r="Y56" s="503">
        <f t="shared" si="6"/>
        <v>0</v>
      </c>
      <c r="Z56" s="497">
        <f t="shared" si="7"/>
        <v>0</v>
      </c>
      <c r="AA56" s="503">
        <v>0</v>
      </c>
      <c r="AB56" s="503"/>
      <c r="AC56" s="432"/>
    </row>
    <row r="57" spans="1:30" ht="15.75">
      <c r="A57" s="392">
        <v>41</v>
      </c>
      <c r="B57" s="290" t="s">
        <v>62</v>
      </c>
      <c r="C57" s="289" t="s">
        <v>63</v>
      </c>
      <c r="D57" s="443">
        <v>1716000</v>
      </c>
      <c r="E57" s="443">
        <v>1716000</v>
      </c>
      <c r="F57" s="316">
        <f t="shared" ref="F57:T57" si="26">SUM(F53,F45)</f>
        <v>1408000</v>
      </c>
      <c r="G57" s="316">
        <f t="shared" si="26"/>
        <v>1463000</v>
      </c>
      <c r="H57" s="316">
        <f t="shared" si="26"/>
        <v>831320</v>
      </c>
      <c r="I57" s="316">
        <f t="shared" si="26"/>
        <v>1.2588988593067558</v>
      </c>
      <c r="J57" s="316">
        <f t="shared" si="26"/>
        <v>631680</v>
      </c>
      <c r="K57" s="316">
        <f t="shared" si="26"/>
        <v>1356000</v>
      </c>
      <c r="L57" s="316">
        <f t="shared" si="26"/>
        <v>1356000</v>
      </c>
      <c r="M57" s="316">
        <f t="shared" si="26"/>
        <v>831320</v>
      </c>
      <c r="N57" s="316">
        <f t="shared" si="26"/>
        <v>52000</v>
      </c>
      <c r="O57" s="316">
        <f t="shared" si="26"/>
        <v>107000</v>
      </c>
      <c r="P57" s="316">
        <f t="shared" si="26"/>
        <v>0</v>
      </c>
      <c r="Q57" s="316">
        <f t="shared" si="26"/>
        <v>0</v>
      </c>
      <c r="R57" s="316">
        <f t="shared" si="26"/>
        <v>0</v>
      </c>
      <c r="S57" s="316">
        <f t="shared" si="26"/>
        <v>0</v>
      </c>
      <c r="T57" s="316">
        <f t="shared" si="26"/>
        <v>-30000</v>
      </c>
      <c r="U57" s="316">
        <f t="shared" si="2"/>
        <v>1378000</v>
      </c>
      <c r="V57" s="316">
        <f>SUM(V53,V45)</f>
        <v>1378000</v>
      </c>
      <c r="W57" s="316">
        <f>SUM(W53,W45)</f>
        <v>942878</v>
      </c>
      <c r="X57" s="316">
        <f>SUM(X53,X45)</f>
        <v>1275857</v>
      </c>
      <c r="Y57" s="499">
        <f>SUM(Y53,Y45)</f>
        <v>1803000</v>
      </c>
      <c r="Z57" s="498">
        <f>Z45+Z53</f>
        <v>1827237</v>
      </c>
      <c r="AA57" s="499">
        <f>SUM(AA53,AA45)</f>
        <v>675111</v>
      </c>
      <c r="AB57" s="499">
        <f>Z57-AA57</f>
        <v>1152126</v>
      </c>
      <c r="AC57" s="436">
        <f t="shared" si="11"/>
        <v>36.947095532763399</v>
      </c>
      <c r="AD57" s="513"/>
    </row>
    <row r="58" spans="1:30">
      <c r="A58" s="390">
        <v>42</v>
      </c>
      <c r="B58" s="272" t="s">
        <v>64</v>
      </c>
      <c r="C58" s="271" t="s">
        <v>65</v>
      </c>
      <c r="D58" s="433">
        <v>630000</v>
      </c>
      <c r="E58" s="433">
        <v>630000</v>
      </c>
      <c r="F58" s="441">
        <f>SUM(F59:F61)</f>
        <v>700000</v>
      </c>
      <c r="G58" s="442">
        <f t="shared" si="20"/>
        <v>700000</v>
      </c>
      <c r="H58" s="442">
        <f t="shared" si="20"/>
        <v>449154</v>
      </c>
      <c r="I58" s="273">
        <f t="shared" ref="I58:S58" si="27">SUM(I59:I61)</f>
        <v>0.43143714285714285</v>
      </c>
      <c r="J58" s="273">
        <f t="shared" si="27"/>
        <v>250846</v>
      </c>
      <c r="K58" s="273">
        <f t="shared" si="27"/>
        <v>600000</v>
      </c>
      <c r="L58" s="273">
        <f t="shared" si="27"/>
        <v>600000</v>
      </c>
      <c r="M58" s="273">
        <f t="shared" si="27"/>
        <v>449154</v>
      </c>
      <c r="N58" s="273">
        <f t="shared" si="27"/>
        <v>100000</v>
      </c>
      <c r="O58" s="273">
        <f t="shared" si="27"/>
        <v>100000</v>
      </c>
      <c r="P58" s="273">
        <f t="shared" si="27"/>
        <v>0</v>
      </c>
      <c r="Q58" s="274">
        <f t="shared" si="27"/>
        <v>0</v>
      </c>
      <c r="R58" s="274">
        <f t="shared" si="27"/>
        <v>0</v>
      </c>
      <c r="S58" s="274">
        <f t="shared" si="27"/>
        <v>0</v>
      </c>
      <c r="T58" s="430">
        <f t="shared" ref="T58:T66" si="28">V58-F58</f>
        <v>40000</v>
      </c>
      <c r="U58" s="430">
        <f t="shared" si="2"/>
        <v>740000</v>
      </c>
      <c r="V58" s="426">
        <v>740000</v>
      </c>
      <c r="W58" s="266">
        <v>581244</v>
      </c>
      <c r="X58" s="266">
        <v>695113</v>
      </c>
      <c r="Y58" s="496">
        <v>1277000</v>
      </c>
      <c r="Z58" s="498">
        <f t="shared" si="7"/>
        <v>1277000</v>
      </c>
      <c r="AA58" s="496">
        <f>SUM(AA59:AA61)</f>
        <v>556696</v>
      </c>
      <c r="AB58" s="496">
        <f t="shared" si="8"/>
        <v>720304</v>
      </c>
      <c r="AC58" s="436">
        <f t="shared" si="11"/>
        <v>43.59404855129209</v>
      </c>
    </row>
    <row r="59" spans="1:30">
      <c r="A59" s="389">
        <v>43</v>
      </c>
      <c r="B59" s="293" t="s">
        <v>940</v>
      </c>
      <c r="C59" s="262"/>
      <c r="D59" s="428">
        <v>0</v>
      </c>
      <c r="E59" s="428">
        <v>0</v>
      </c>
      <c r="F59" s="1476">
        <v>700000</v>
      </c>
      <c r="G59" s="266">
        <f t="shared" ref="G59:H92" si="29">SUM(L59,O59,R59,)</f>
        <v>0</v>
      </c>
      <c r="H59" s="266">
        <f t="shared" si="29"/>
        <v>114726</v>
      </c>
      <c r="I59" s="429"/>
      <c r="J59" s="264">
        <f t="shared" si="3"/>
        <v>-114726</v>
      </c>
      <c r="K59" s="264"/>
      <c r="L59" s="264">
        <f t="shared" si="4"/>
        <v>0</v>
      </c>
      <c r="M59" s="264">
        <v>114726</v>
      </c>
      <c r="N59" s="294"/>
      <c r="O59" s="264">
        <f t="shared" si="5"/>
        <v>0</v>
      </c>
      <c r="P59" s="262"/>
      <c r="Q59" s="266"/>
      <c r="R59" s="266"/>
      <c r="S59" s="266"/>
      <c r="T59" s="430">
        <f t="shared" si="28"/>
        <v>-700000</v>
      </c>
      <c r="U59" s="430">
        <f t="shared" si="2"/>
        <v>0</v>
      </c>
      <c r="V59" s="430"/>
      <c r="W59" s="266"/>
      <c r="X59" s="266"/>
      <c r="Y59" s="503">
        <f t="shared" si="6"/>
        <v>0</v>
      </c>
      <c r="Z59" s="497">
        <f t="shared" si="7"/>
        <v>0</v>
      </c>
      <c r="AA59" s="503">
        <v>84698</v>
      </c>
      <c r="AB59" s="503"/>
      <c r="AC59" s="431"/>
    </row>
    <row r="60" spans="1:30">
      <c r="A60" s="389">
        <v>44</v>
      </c>
      <c r="B60" s="293" t="s">
        <v>939</v>
      </c>
      <c r="C60" s="262"/>
      <c r="D60" s="428">
        <v>630000</v>
      </c>
      <c r="E60" s="428">
        <v>630000</v>
      </c>
      <c r="F60" s="1476"/>
      <c r="G60" s="266">
        <f t="shared" si="29"/>
        <v>700000</v>
      </c>
      <c r="H60" s="266">
        <f t="shared" si="29"/>
        <v>302006</v>
      </c>
      <c r="I60" s="429">
        <f t="shared" si="9"/>
        <v>0.43143714285714285</v>
      </c>
      <c r="J60" s="264">
        <f t="shared" si="3"/>
        <v>397994</v>
      </c>
      <c r="K60" s="264">
        <v>600000</v>
      </c>
      <c r="L60" s="264">
        <f t="shared" si="4"/>
        <v>600000</v>
      </c>
      <c r="M60" s="264">
        <v>302006</v>
      </c>
      <c r="N60" s="294">
        <v>100000</v>
      </c>
      <c r="O60" s="264">
        <f t="shared" si="5"/>
        <v>100000</v>
      </c>
      <c r="P60" s="262"/>
      <c r="Q60" s="266"/>
      <c r="R60" s="266"/>
      <c r="S60" s="266"/>
      <c r="T60" s="430">
        <f t="shared" si="28"/>
        <v>0</v>
      </c>
      <c r="U60" s="430">
        <f t="shared" si="2"/>
        <v>0</v>
      </c>
      <c r="V60" s="430"/>
      <c r="W60" s="266"/>
      <c r="X60" s="266"/>
      <c r="Y60" s="503">
        <f t="shared" si="6"/>
        <v>0</v>
      </c>
      <c r="Z60" s="497">
        <f t="shared" si="7"/>
        <v>0</v>
      </c>
      <c r="AA60" s="503">
        <v>455694</v>
      </c>
      <c r="AB60" s="503"/>
      <c r="AC60" s="431"/>
    </row>
    <row r="61" spans="1:30">
      <c r="A61" s="389">
        <v>45</v>
      </c>
      <c r="B61" s="293" t="s">
        <v>67</v>
      </c>
      <c r="C61" s="262"/>
      <c r="D61" s="428">
        <v>0</v>
      </c>
      <c r="E61" s="428">
        <v>0</v>
      </c>
      <c r="F61" s="1476"/>
      <c r="G61" s="266">
        <f t="shared" si="29"/>
        <v>0</v>
      </c>
      <c r="H61" s="266">
        <f t="shared" si="29"/>
        <v>32422</v>
      </c>
      <c r="I61" s="429"/>
      <c r="J61" s="264">
        <f t="shared" si="3"/>
        <v>-32422</v>
      </c>
      <c r="K61" s="264"/>
      <c r="L61" s="264">
        <f t="shared" si="4"/>
        <v>0</v>
      </c>
      <c r="M61" s="264">
        <v>32422</v>
      </c>
      <c r="N61" s="294"/>
      <c r="O61" s="264">
        <f t="shared" si="5"/>
        <v>0</v>
      </c>
      <c r="P61" s="262"/>
      <c r="Q61" s="266"/>
      <c r="R61" s="266"/>
      <c r="S61" s="266"/>
      <c r="T61" s="430">
        <f t="shared" si="28"/>
        <v>0</v>
      </c>
      <c r="U61" s="430">
        <f t="shared" si="2"/>
        <v>0</v>
      </c>
      <c r="V61" s="430"/>
      <c r="W61" s="266"/>
      <c r="X61" s="266"/>
      <c r="Y61" s="503">
        <f t="shared" si="6"/>
        <v>0</v>
      </c>
      <c r="Z61" s="497">
        <f t="shared" si="7"/>
        <v>0</v>
      </c>
      <c r="AA61" s="503">
        <v>16304</v>
      </c>
      <c r="AB61" s="503"/>
      <c r="AC61" s="431"/>
    </row>
    <row r="62" spans="1:30">
      <c r="A62" s="390">
        <v>46</v>
      </c>
      <c r="B62" s="279" t="s">
        <v>68</v>
      </c>
      <c r="C62" s="278" t="s">
        <v>69</v>
      </c>
      <c r="D62" s="433">
        <v>0</v>
      </c>
      <c r="E62" s="433">
        <v>0</v>
      </c>
      <c r="F62" s="441">
        <f>SUM(F63)</f>
        <v>0</v>
      </c>
      <c r="G62" s="442">
        <f t="shared" si="29"/>
        <v>0</v>
      </c>
      <c r="H62" s="442">
        <f t="shared" si="29"/>
        <v>0</v>
      </c>
      <c r="I62" s="273">
        <f t="shared" ref="I62:S62" si="30">I63</f>
        <v>0</v>
      </c>
      <c r="J62" s="273">
        <f t="shared" si="30"/>
        <v>0</v>
      </c>
      <c r="K62" s="273">
        <f t="shared" si="30"/>
        <v>0</v>
      </c>
      <c r="L62" s="273">
        <f t="shared" si="30"/>
        <v>0</v>
      </c>
      <c r="M62" s="273">
        <f t="shared" si="30"/>
        <v>0</v>
      </c>
      <c r="N62" s="273">
        <f t="shared" si="30"/>
        <v>0</v>
      </c>
      <c r="O62" s="273">
        <f t="shared" si="30"/>
        <v>0</v>
      </c>
      <c r="P62" s="273">
        <f t="shared" si="30"/>
        <v>0</v>
      </c>
      <c r="Q62" s="274">
        <f t="shared" si="30"/>
        <v>0</v>
      </c>
      <c r="R62" s="274">
        <f t="shared" si="30"/>
        <v>0</v>
      </c>
      <c r="S62" s="274">
        <f t="shared" si="30"/>
        <v>0</v>
      </c>
      <c r="T62" s="430">
        <f t="shared" si="28"/>
        <v>0</v>
      </c>
      <c r="U62" s="430">
        <f t="shared" si="2"/>
        <v>0</v>
      </c>
      <c r="V62" s="430"/>
      <c r="W62" s="266"/>
      <c r="X62" s="266"/>
      <c r="Y62" s="503">
        <f t="shared" si="6"/>
        <v>0</v>
      </c>
      <c r="Z62" s="497">
        <f t="shared" si="7"/>
        <v>0</v>
      </c>
      <c r="AA62" s="503">
        <v>0</v>
      </c>
      <c r="AB62" s="503">
        <f t="shared" si="8"/>
        <v>0</v>
      </c>
      <c r="AC62" s="431"/>
    </row>
    <row r="63" spans="1:30" hidden="1">
      <c r="A63" s="389">
        <v>47</v>
      </c>
      <c r="B63" s="263" t="s">
        <v>70</v>
      </c>
      <c r="C63" s="262"/>
      <c r="D63" s="428">
        <v>0</v>
      </c>
      <c r="E63" s="428">
        <v>0</v>
      </c>
      <c r="F63" s="269">
        <f>SUM(K63,N63,Q63,)</f>
        <v>0</v>
      </c>
      <c r="G63" s="266">
        <f t="shared" si="29"/>
        <v>0</v>
      </c>
      <c r="H63" s="266">
        <f t="shared" si="29"/>
        <v>0</v>
      </c>
      <c r="I63" s="429"/>
      <c r="J63" s="264">
        <f t="shared" si="3"/>
        <v>0</v>
      </c>
      <c r="K63" s="264"/>
      <c r="L63" s="264">
        <f t="shared" si="4"/>
        <v>0</v>
      </c>
      <c r="M63" s="264"/>
      <c r="N63" s="294"/>
      <c r="O63" s="264">
        <f t="shared" si="5"/>
        <v>0</v>
      </c>
      <c r="P63" s="262"/>
      <c r="Q63" s="266"/>
      <c r="R63" s="266"/>
      <c r="S63" s="266"/>
      <c r="T63" s="430">
        <f t="shared" si="28"/>
        <v>0</v>
      </c>
      <c r="U63" s="430">
        <f t="shared" si="2"/>
        <v>0</v>
      </c>
      <c r="V63" s="430"/>
      <c r="W63" s="266"/>
      <c r="X63" s="266"/>
      <c r="Y63" s="503">
        <f t="shared" si="6"/>
        <v>0</v>
      </c>
      <c r="Z63" s="497">
        <f t="shared" si="7"/>
        <v>0</v>
      </c>
      <c r="AA63" s="503"/>
      <c r="AB63" s="503">
        <f t="shared" si="8"/>
        <v>0</v>
      </c>
      <c r="AC63" s="431" t="e">
        <f t="shared" si="11"/>
        <v>#DIV/0!</v>
      </c>
    </row>
    <row r="64" spans="1:30" hidden="1">
      <c r="A64" s="389">
        <v>48</v>
      </c>
      <c r="B64" s="263" t="s">
        <v>71</v>
      </c>
      <c r="C64" s="262" t="s">
        <v>72</v>
      </c>
      <c r="D64" s="428">
        <v>0</v>
      </c>
      <c r="E64" s="428">
        <v>0</v>
      </c>
      <c r="F64" s="269">
        <f>SUM(K64,N64,Q64,)</f>
        <v>0</v>
      </c>
      <c r="G64" s="266">
        <f t="shared" si="29"/>
        <v>0</v>
      </c>
      <c r="H64" s="266">
        <f t="shared" si="29"/>
        <v>0</v>
      </c>
      <c r="I64" s="429"/>
      <c r="J64" s="264">
        <f t="shared" si="3"/>
        <v>0</v>
      </c>
      <c r="K64" s="264"/>
      <c r="L64" s="264">
        <f t="shared" si="4"/>
        <v>0</v>
      </c>
      <c r="M64" s="264"/>
      <c r="N64" s="294"/>
      <c r="O64" s="264">
        <f t="shared" si="5"/>
        <v>0</v>
      </c>
      <c r="P64" s="262"/>
      <c r="Q64" s="266"/>
      <c r="R64" s="266"/>
      <c r="S64" s="266"/>
      <c r="T64" s="430">
        <f t="shared" si="28"/>
        <v>0</v>
      </c>
      <c r="U64" s="430">
        <f t="shared" si="2"/>
        <v>0</v>
      </c>
      <c r="V64" s="430"/>
      <c r="W64" s="266"/>
      <c r="X64" s="266"/>
      <c r="Y64" s="503">
        <f t="shared" si="6"/>
        <v>0</v>
      </c>
      <c r="Z64" s="497">
        <f t="shared" si="7"/>
        <v>0</v>
      </c>
      <c r="AA64" s="503"/>
      <c r="AB64" s="503">
        <f t="shared" si="8"/>
        <v>0</v>
      </c>
      <c r="AC64" s="431" t="e">
        <f t="shared" si="11"/>
        <v>#DIV/0!</v>
      </c>
    </row>
    <row r="65" spans="1:29">
      <c r="A65" s="389">
        <v>49</v>
      </c>
      <c r="B65" s="279" t="s">
        <v>152</v>
      </c>
      <c r="C65" s="262" t="s">
        <v>73</v>
      </c>
      <c r="D65" s="428">
        <v>250000</v>
      </c>
      <c r="E65" s="428">
        <v>250000</v>
      </c>
      <c r="F65" s="269">
        <f>SUM(K65,N65,Q65,)</f>
        <v>250000</v>
      </c>
      <c r="G65" s="266">
        <f t="shared" si="29"/>
        <v>250000</v>
      </c>
      <c r="H65" s="266">
        <f t="shared" si="29"/>
        <v>96084</v>
      </c>
      <c r="I65" s="429">
        <f t="shared" si="9"/>
        <v>0.38433600000000001</v>
      </c>
      <c r="J65" s="264">
        <f t="shared" si="3"/>
        <v>153916</v>
      </c>
      <c r="K65" s="264">
        <v>250000</v>
      </c>
      <c r="L65" s="264">
        <f t="shared" si="4"/>
        <v>250000</v>
      </c>
      <c r="M65" s="264">
        <v>96084</v>
      </c>
      <c r="N65" s="294"/>
      <c r="O65" s="264">
        <f t="shared" si="5"/>
        <v>0</v>
      </c>
      <c r="P65" s="262"/>
      <c r="Q65" s="266"/>
      <c r="R65" s="266"/>
      <c r="S65" s="266"/>
      <c r="T65" s="430">
        <f t="shared" si="28"/>
        <v>-47494</v>
      </c>
      <c r="U65" s="430">
        <f t="shared" si="2"/>
        <v>202506</v>
      </c>
      <c r="V65" s="426">
        <v>202506</v>
      </c>
      <c r="W65" s="266">
        <v>35000</v>
      </c>
      <c r="X65" s="266">
        <v>35000</v>
      </c>
      <c r="Y65" s="503">
        <v>50000</v>
      </c>
      <c r="Z65" s="497">
        <f t="shared" si="7"/>
        <v>50000</v>
      </c>
      <c r="AA65" s="503">
        <v>0</v>
      </c>
      <c r="AB65" s="503">
        <f t="shared" si="8"/>
        <v>50000</v>
      </c>
      <c r="AC65" s="432"/>
    </row>
    <row r="66" spans="1:29">
      <c r="A66" s="389">
        <v>50</v>
      </c>
      <c r="B66" s="263" t="s">
        <v>74</v>
      </c>
      <c r="C66" s="262" t="s">
        <v>75</v>
      </c>
      <c r="D66" s="428">
        <v>0</v>
      </c>
      <c r="E66" s="428">
        <v>0</v>
      </c>
      <c r="F66" s="269">
        <f>SUM(K66,N66,Q66,)</f>
        <v>0</v>
      </c>
      <c r="G66" s="266">
        <f t="shared" si="29"/>
        <v>0</v>
      </c>
      <c r="H66" s="266">
        <f t="shared" si="29"/>
        <v>133978</v>
      </c>
      <c r="I66" s="429"/>
      <c r="J66" s="264">
        <f t="shared" si="3"/>
        <v>-133978</v>
      </c>
      <c r="K66" s="264"/>
      <c r="L66" s="264">
        <f t="shared" si="4"/>
        <v>0</v>
      </c>
      <c r="M66" s="264">
        <v>133978</v>
      </c>
      <c r="N66" s="294"/>
      <c r="O66" s="264">
        <f t="shared" si="5"/>
        <v>0</v>
      </c>
      <c r="P66" s="262"/>
      <c r="Q66" s="266"/>
      <c r="R66" s="266"/>
      <c r="S66" s="266"/>
      <c r="T66" s="430">
        <f t="shared" si="28"/>
        <v>175000</v>
      </c>
      <c r="U66" s="430">
        <f t="shared" si="2"/>
        <v>175000</v>
      </c>
      <c r="V66" s="426">
        <v>175000</v>
      </c>
      <c r="W66" s="266">
        <v>164436</v>
      </c>
      <c r="X66" s="266">
        <v>190992</v>
      </c>
      <c r="Y66" s="503">
        <v>100000</v>
      </c>
      <c r="Z66" s="497">
        <f t="shared" si="7"/>
        <v>100000</v>
      </c>
      <c r="AA66" s="503">
        <v>44260</v>
      </c>
      <c r="AB66" s="503">
        <f t="shared" si="8"/>
        <v>55740</v>
      </c>
      <c r="AC66" s="432">
        <f t="shared" si="11"/>
        <v>44.26</v>
      </c>
    </row>
    <row r="67" spans="1:29" s="391" customFormat="1">
      <c r="A67" s="390">
        <v>51</v>
      </c>
      <c r="B67" s="272" t="s">
        <v>76</v>
      </c>
      <c r="C67" s="271" t="s">
        <v>77</v>
      </c>
      <c r="D67" s="433">
        <v>650000</v>
      </c>
      <c r="E67" s="433">
        <v>650000</v>
      </c>
      <c r="F67" s="441">
        <f>SUM(F68:F70)</f>
        <v>500000</v>
      </c>
      <c r="G67" s="442">
        <f t="shared" si="29"/>
        <v>500000</v>
      </c>
      <c r="H67" s="442">
        <f t="shared" si="29"/>
        <v>114906</v>
      </c>
      <c r="I67" s="273">
        <f t="shared" ref="I67:S67" si="31">SUM(I68:I70)</f>
        <v>0.22981199999999999</v>
      </c>
      <c r="J67" s="273">
        <f t="shared" si="31"/>
        <v>385094</v>
      </c>
      <c r="K67" s="273">
        <f t="shared" si="31"/>
        <v>400000</v>
      </c>
      <c r="L67" s="273">
        <f t="shared" si="31"/>
        <v>400000</v>
      </c>
      <c r="M67" s="273">
        <f t="shared" si="31"/>
        <v>114906</v>
      </c>
      <c r="N67" s="273">
        <f t="shared" si="31"/>
        <v>100000</v>
      </c>
      <c r="O67" s="273">
        <f t="shared" si="31"/>
        <v>100000</v>
      </c>
      <c r="P67" s="273">
        <f t="shared" si="31"/>
        <v>0</v>
      </c>
      <c r="Q67" s="274">
        <f t="shared" si="31"/>
        <v>0</v>
      </c>
      <c r="R67" s="274">
        <f t="shared" si="31"/>
        <v>0</v>
      </c>
      <c r="S67" s="274">
        <f t="shared" si="31"/>
        <v>0</v>
      </c>
      <c r="T67" s="430">
        <v>840000</v>
      </c>
      <c r="U67" s="430">
        <f t="shared" si="2"/>
        <v>1340000</v>
      </c>
      <c r="V67" s="426">
        <v>500000</v>
      </c>
      <c r="W67" s="266">
        <v>179451</v>
      </c>
      <c r="X67" s="266">
        <v>1017333</v>
      </c>
      <c r="Y67" s="496">
        <v>750000</v>
      </c>
      <c r="Z67" s="498">
        <v>1559142</v>
      </c>
      <c r="AA67" s="496">
        <f>SUM(AA68:AA70)</f>
        <v>1534142</v>
      </c>
      <c r="AB67" s="496">
        <f t="shared" si="8"/>
        <v>25000</v>
      </c>
      <c r="AC67" s="436">
        <f t="shared" si="11"/>
        <v>98.396554002137066</v>
      </c>
    </row>
    <row r="68" spans="1:29">
      <c r="A68" s="389">
        <v>52</v>
      </c>
      <c r="B68" s="287" t="s">
        <v>941</v>
      </c>
      <c r="C68" s="262"/>
      <c r="D68" s="428">
        <v>0</v>
      </c>
      <c r="E68" s="428">
        <v>0</v>
      </c>
      <c r="F68" s="269">
        <f>SUM(K68,N68,Q68,)</f>
        <v>0</v>
      </c>
      <c r="G68" s="266">
        <f t="shared" si="29"/>
        <v>0</v>
      </c>
      <c r="H68" s="266">
        <f t="shared" si="29"/>
        <v>0</v>
      </c>
      <c r="I68" s="429"/>
      <c r="J68" s="264">
        <f t="shared" si="3"/>
        <v>0</v>
      </c>
      <c r="K68" s="264"/>
      <c r="L68" s="264">
        <f t="shared" si="4"/>
        <v>0</v>
      </c>
      <c r="M68" s="264"/>
      <c r="N68" s="294"/>
      <c r="O68" s="264">
        <f t="shared" si="5"/>
        <v>0</v>
      </c>
      <c r="P68" s="262"/>
      <c r="Q68" s="266"/>
      <c r="R68" s="266"/>
      <c r="S68" s="266"/>
      <c r="T68" s="430">
        <f>V68-F68</f>
        <v>0</v>
      </c>
      <c r="U68" s="430">
        <f t="shared" si="2"/>
        <v>0</v>
      </c>
      <c r="V68" s="430"/>
      <c r="W68" s="266"/>
      <c r="X68" s="266"/>
      <c r="Y68" s="503">
        <f t="shared" si="6"/>
        <v>0</v>
      </c>
      <c r="Z68" s="497">
        <f t="shared" si="7"/>
        <v>0</v>
      </c>
      <c r="AA68" s="503">
        <v>337500</v>
      </c>
      <c r="AB68" s="503"/>
      <c r="AC68" s="432"/>
    </row>
    <row r="69" spans="1:29">
      <c r="A69" s="389">
        <v>53</v>
      </c>
      <c r="B69" s="287" t="s">
        <v>942</v>
      </c>
      <c r="C69" s="262"/>
      <c r="D69" s="428">
        <v>650000</v>
      </c>
      <c r="E69" s="428">
        <v>650000</v>
      </c>
      <c r="F69" s="269">
        <v>500000</v>
      </c>
      <c r="G69" s="266">
        <f t="shared" si="29"/>
        <v>500000</v>
      </c>
      <c r="H69" s="266">
        <f t="shared" si="29"/>
        <v>114906</v>
      </c>
      <c r="I69" s="429">
        <f t="shared" si="9"/>
        <v>0.22981199999999999</v>
      </c>
      <c r="J69" s="264">
        <f t="shared" si="3"/>
        <v>385094</v>
      </c>
      <c r="K69" s="264">
        <v>400000</v>
      </c>
      <c r="L69" s="264">
        <f t="shared" si="4"/>
        <v>400000</v>
      </c>
      <c r="M69" s="264">
        <v>114906</v>
      </c>
      <c r="N69" s="294">
        <v>100000</v>
      </c>
      <c r="O69" s="264">
        <f t="shared" si="5"/>
        <v>100000</v>
      </c>
      <c r="P69" s="262"/>
      <c r="Q69" s="266"/>
      <c r="R69" s="266"/>
      <c r="S69" s="266"/>
      <c r="T69" s="430">
        <f>V69-F69</f>
        <v>-500000</v>
      </c>
      <c r="U69" s="430">
        <f t="shared" si="2"/>
        <v>0</v>
      </c>
      <c r="V69" s="430"/>
      <c r="W69" s="266"/>
      <c r="X69" s="266"/>
      <c r="Y69" s="503">
        <f t="shared" si="6"/>
        <v>0</v>
      </c>
      <c r="Z69" s="497">
        <f t="shared" si="7"/>
        <v>0</v>
      </c>
      <c r="AA69" s="503">
        <v>1112000</v>
      </c>
      <c r="AB69" s="503"/>
      <c r="AC69" s="432"/>
    </row>
    <row r="70" spans="1:29">
      <c r="A70" s="389">
        <v>54</v>
      </c>
      <c r="B70" s="287" t="s">
        <v>943</v>
      </c>
      <c r="C70" s="262"/>
      <c r="D70" s="428">
        <v>0</v>
      </c>
      <c r="E70" s="428">
        <v>0</v>
      </c>
      <c r="F70" s="269">
        <f>SUM(K70,N70,Q70,)</f>
        <v>0</v>
      </c>
      <c r="G70" s="266">
        <f t="shared" si="29"/>
        <v>0</v>
      </c>
      <c r="H70" s="266">
        <f t="shared" si="29"/>
        <v>0</v>
      </c>
      <c r="I70" s="429"/>
      <c r="J70" s="264">
        <f t="shared" si="3"/>
        <v>0</v>
      </c>
      <c r="K70" s="264"/>
      <c r="L70" s="264">
        <f t="shared" si="4"/>
        <v>0</v>
      </c>
      <c r="M70" s="264"/>
      <c r="N70" s="294"/>
      <c r="O70" s="264">
        <f t="shared" si="5"/>
        <v>0</v>
      </c>
      <c r="P70" s="262"/>
      <c r="Q70" s="266"/>
      <c r="R70" s="266"/>
      <c r="S70" s="266"/>
      <c r="T70" s="430">
        <f>V70-F70</f>
        <v>0</v>
      </c>
      <c r="U70" s="430">
        <f t="shared" si="2"/>
        <v>0</v>
      </c>
      <c r="V70" s="430"/>
      <c r="W70" s="266"/>
      <c r="X70" s="266"/>
      <c r="Y70" s="503">
        <f t="shared" si="6"/>
        <v>0</v>
      </c>
      <c r="Z70" s="497">
        <f t="shared" si="7"/>
        <v>0</v>
      </c>
      <c r="AA70" s="503">
        <v>84642</v>
      </c>
      <c r="AB70" s="503"/>
      <c r="AC70" s="432"/>
    </row>
    <row r="71" spans="1:29" s="391" customFormat="1">
      <c r="A71" s="390">
        <v>55</v>
      </c>
      <c r="B71" s="272" t="s">
        <v>80</v>
      </c>
      <c r="C71" s="271" t="s">
        <v>81</v>
      </c>
      <c r="D71" s="433">
        <v>1348000</v>
      </c>
      <c r="E71" s="433">
        <v>1349028</v>
      </c>
      <c r="F71" s="441">
        <f>SUM(F78)</f>
        <v>1900000</v>
      </c>
      <c r="G71" s="442">
        <f t="shared" si="29"/>
        <v>1901028</v>
      </c>
      <c r="H71" s="442">
        <f t="shared" si="29"/>
        <v>1111280</v>
      </c>
      <c r="I71" s="444">
        <f>H71/G71</f>
        <v>0.58456792851025863</v>
      </c>
      <c r="J71" s="273">
        <f t="shared" ref="J71:S71" si="32">SUM(J72:J78)</f>
        <v>789748</v>
      </c>
      <c r="K71" s="273">
        <f t="shared" si="32"/>
        <v>1700000</v>
      </c>
      <c r="L71" s="273">
        <f t="shared" si="32"/>
        <v>1700000</v>
      </c>
      <c r="M71" s="273">
        <f t="shared" si="32"/>
        <v>1110252</v>
      </c>
      <c r="N71" s="273">
        <f t="shared" si="32"/>
        <v>200000</v>
      </c>
      <c r="O71" s="273">
        <f t="shared" si="32"/>
        <v>200000</v>
      </c>
      <c r="P71" s="273">
        <f t="shared" si="32"/>
        <v>0</v>
      </c>
      <c r="Q71" s="274">
        <f t="shared" si="32"/>
        <v>0</v>
      </c>
      <c r="R71" s="274">
        <f t="shared" si="32"/>
        <v>1028</v>
      </c>
      <c r="S71" s="274">
        <f t="shared" si="32"/>
        <v>1028</v>
      </c>
      <c r="T71" s="430">
        <f>V71-F71+620479-661417+31853-240157</f>
        <v>-299242</v>
      </c>
      <c r="U71" s="430">
        <f t="shared" si="2"/>
        <v>1600758</v>
      </c>
      <c r="V71" s="426">
        <v>1850000</v>
      </c>
      <c r="W71" s="266">
        <v>1516166</v>
      </c>
      <c r="X71" s="266">
        <v>1675566</v>
      </c>
      <c r="Y71" s="496">
        <v>1900000</v>
      </c>
      <c r="Z71" s="498">
        <f t="shared" si="7"/>
        <v>1900000</v>
      </c>
      <c r="AA71" s="496">
        <f>SUM(AA72:AA78)</f>
        <v>1076532</v>
      </c>
      <c r="AB71" s="496">
        <f t="shared" si="8"/>
        <v>823468</v>
      </c>
      <c r="AC71" s="436">
        <f t="shared" si="11"/>
        <v>56.659578947368416</v>
      </c>
    </row>
    <row r="72" spans="1:29">
      <c r="A72" s="389">
        <v>56</v>
      </c>
      <c r="B72" s="287" t="s">
        <v>82</v>
      </c>
      <c r="C72" s="262"/>
      <c r="D72" s="428">
        <v>0</v>
      </c>
      <c r="E72" s="428">
        <v>0</v>
      </c>
      <c r="F72" s="269">
        <f>SUM(K72,N72,Q72,)</f>
        <v>0</v>
      </c>
      <c r="G72" s="266">
        <f t="shared" si="29"/>
        <v>0</v>
      </c>
      <c r="H72" s="266">
        <f t="shared" si="29"/>
        <v>0</v>
      </c>
      <c r="I72" s="429" t="e">
        <f t="shared" si="9"/>
        <v>#DIV/0!</v>
      </c>
      <c r="J72" s="264">
        <f t="shared" si="3"/>
        <v>0</v>
      </c>
      <c r="K72" s="264"/>
      <c r="L72" s="264">
        <f t="shared" si="4"/>
        <v>0</v>
      </c>
      <c r="M72" s="264"/>
      <c r="N72" s="294"/>
      <c r="O72" s="264">
        <f t="shared" si="5"/>
        <v>0</v>
      </c>
      <c r="P72" s="262"/>
      <c r="Q72" s="266"/>
      <c r="R72" s="266"/>
      <c r="S72" s="266"/>
      <c r="T72" s="430">
        <f>V72-F72</f>
        <v>0</v>
      </c>
      <c r="U72" s="430">
        <f t="shared" si="2"/>
        <v>0</v>
      </c>
      <c r="V72" s="430"/>
      <c r="W72" s="266"/>
      <c r="X72" s="266"/>
      <c r="Y72" s="503">
        <f t="shared" si="6"/>
        <v>0</v>
      </c>
      <c r="Z72" s="497">
        <f t="shared" si="7"/>
        <v>0</v>
      </c>
      <c r="AA72" s="503">
        <v>646860</v>
      </c>
      <c r="AB72" s="503"/>
      <c r="AC72" s="432"/>
    </row>
    <row r="73" spans="1:29">
      <c r="A73" s="389">
        <v>57</v>
      </c>
      <c r="B73" s="287" t="s">
        <v>83</v>
      </c>
      <c r="C73" s="262"/>
      <c r="D73" s="428">
        <v>0</v>
      </c>
      <c r="E73" s="428">
        <v>0</v>
      </c>
      <c r="F73" s="269">
        <f>SUM(K73,N73,Q73,)</f>
        <v>0</v>
      </c>
      <c r="G73" s="266">
        <f t="shared" si="29"/>
        <v>0</v>
      </c>
      <c r="H73" s="266">
        <f t="shared" si="29"/>
        <v>0</v>
      </c>
      <c r="I73" s="429" t="e">
        <f t="shared" si="9"/>
        <v>#DIV/0!</v>
      </c>
      <c r="J73" s="264">
        <f t="shared" si="3"/>
        <v>0</v>
      </c>
      <c r="K73" s="264"/>
      <c r="L73" s="264">
        <f t="shared" si="4"/>
        <v>0</v>
      </c>
      <c r="M73" s="264"/>
      <c r="N73" s="294"/>
      <c r="O73" s="264">
        <f t="shared" si="5"/>
        <v>0</v>
      </c>
      <c r="P73" s="262"/>
      <c r="Q73" s="266"/>
      <c r="R73" s="266"/>
      <c r="S73" s="266"/>
      <c r="T73" s="430">
        <f>V73-F73</f>
        <v>0</v>
      </c>
      <c r="U73" s="430">
        <f t="shared" si="2"/>
        <v>0</v>
      </c>
      <c r="V73" s="430"/>
      <c r="W73" s="266"/>
      <c r="X73" s="266"/>
      <c r="Y73" s="503">
        <f t="shared" si="6"/>
        <v>0</v>
      </c>
      <c r="Z73" s="497">
        <f t="shared" si="7"/>
        <v>0</v>
      </c>
      <c r="AA73" s="503">
        <v>204333</v>
      </c>
      <c r="AB73" s="503"/>
      <c r="AC73" s="432"/>
    </row>
    <row r="74" spans="1:29">
      <c r="A74" s="389">
        <v>58</v>
      </c>
      <c r="B74" s="287" t="s">
        <v>84</v>
      </c>
      <c r="C74" s="262"/>
      <c r="D74" s="428">
        <v>0</v>
      </c>
      <c r="E74" s="428">
        <v>0</v>
      </c>
      <c r="F74" s="269">
        <f>SUM(K74,N74,Q74,)</f>
        <v>0</v>
      </c>
      <c r="G74" s="266">
        <f t="shared" si="29"/>
        <v>0</v>
      </c>
      <c r="H74" s="266">
        <f t="shared" si="29"/>
        <v>0</v>
      </c>
      <c r="I74" s="429" t="e">
        <f t="shared" si="9"/>
        <v>#DIV/0!</v>
      </c>
      <c r="J74" s="264">
        <f t="shared" si="3"/>
        <v>0</v>
      </c>
      <c r="K74" s="264"/>
      <c r="L74" s="264">
        <f t="shared" si="4"/>
        <v>0</v>
      </c>
      <c r="M74" s="264"/>
      <c r="N74" s="294"/>
      <c r="O74" s="264">
        <f t="shared" si="5"/>
        <v>0</v>
      </c>
      <c r="P74" s="262"/>
      <c r="Q74" s="266"/>
      <c r="R74" s="266"/>
      <c r="S74" s="266"/>
      <c r="T74" s="430">
        <f>V74-F74</f>
        <v>0</v>
      </c>
      <c r="U74" s="430">
        <f t="shared" si="2"/>
        <v>0</v>
      </c>
      <c r="V74" s="430"/>
      <c r="W74" s="266"/>
      <c r="X74" s="266"/>
      <c r="Y74" s="503">
        <f t="shared" si="6"/>
        <v>0</v>
      </c>
      <c r="Z74" s="497">
        <f t="shared" si="7"/>
        <v>0</v>
      </c>
      <c r="AA74" s="503">
        <v>3796</v>
      </c>
      <c r="AB74" s="503"/>
      <c r="AC74" s="432"/>
    </row>
    <row r="75" spans="1:29">
      <c r="A75" s="389">
        <v>59</v>
      </c>
      <c r="B75" s="287" t="s">
        <v>85</v>
      </c>
      <c r="C75" s="262"/>
      <c r="D75" s="428">
        <v>0</v>
      </c>
      <c r="E75" s="428">
        <v>0</v>
      </c>
      <c r="F75" s="269">
        <f>SUM(K75,N75,Q75,)</f>
        <v>0</v>
      </c>
      <c r="G75" s="266">
        <f t="shared" si="29"/>
        <v>0</v>
      </c>
      <c r="H75" s="266">
        <f t="shared" si="29"/>
        <v>0</v>
      </c>
      <c r="I75" s="429" t="e">
        <f t="shared" si="9"/>
        <v>#DIV/0!</v>
      </c>
      <c r="J75" s="264">
        <f t="shared" si="3"/>
        <v>0</v>
      </c>
      <c r="K75" s="264"/>
      <c r="L75" s="264">
        <f t="shared" si="4"/>
        <v>0</v>
      </c>
      <c r="M75" s="264"/>
      <c r="N75" s="294"/>
      <c r="O75" s="264">
        <f t="shared" si="5"/>
        <v>0</v>
      </c>
      <c r="P75" s="262"/>
      <c r="Q75" s="266"/>
      <c r="R75" s="266"/>
      <c r="S75" s="266"/>
      <c r="T75" s="430">
        <f>V75-F75</f>
        <v>0</v>
      </c>
      <c r="U75" s="430">
        <f t="shared" si="2"/>
        <v>0</v>
      </c>
      <c r="V75" s="430"/>
      <c r="W75" s="266"/>
      <c r="X75" s="266"/>
      <c r="Y75" s="503">
        <f t="shared" si="6"/>
        <v>0</v>
      </c>
      <c r="Z75" s="497">
        <f t="shared" si="7"/>
        <v>0</v>
      </c>
      <c r="AA75" s="503">
        <v>104069</v>
      </c>
      <c r="AB75" s="503"/>
      <c r="AC75" s="432"/>
    </row>
    <row r="76" spans="1:29">
      <c r="A76" s="389"/>
      <c r="B76" s="287" t="s">
        <v>944</v>
      </c>
      <c r="C76" s="262"/>
      <c r="D76" s="428"/>
      <c r="E76" s="428"/>
      <c r="F76" s="269"/>
      <c r="G76" s="266"/>
      <c r="H76" s="266"/>
      <c r="I76" s="429"/>
      <c r="J76" s="264"/>
      <c r="K76" s="264"/>
      <c r="L76" s="264"/>
      <c r="M76" s="264"/>
      <c r="N76" s="294"/>
      <c r="O76" s="264"/>
      <c r="P76" s="262"/>
      <c r="Q76" s="266"/>
      <c r="R76" s="266"/>
      <c r="S76" s="266"/>
      <c r="T76" s="430"/>
      <c r="U76" s="430"/>
      <c r="V76" s="430"/>
      <c r="W76" s="266"/>
      <c r="X76" s="266"/>
      <c r="Y76" s="503">
        <v>0</v>
      </c>
      <c r="Z76" s="497">
        <v>0</v>
      </c>
      <c r="AA76" s="503">
        <v>63000</v>
      </c>
      <c r="AB76" s="503"/>
      <c r="AC76" s="432"/>
    </row>
    <row r="77" spans="1:29">
      <c r="A77" s="389"/>
      <c r="B77" s="287" t="s">
        <v>945</v>
      </c>
      <c r="C77" s="262"/>
      <c r="D77" s="428"/>
      <c r="E77" s="428"/>
      <c r="F77" s="269"/>
      <c r="G77" s="266"/>
      <c r="H77" s="266"/>
      <c r="I77" s="429"/>
      <c r="J77" s="264"/>
      <c r="K77" s="264"/>
      <c r="L77" s="264"/>
      <c r="M77" s="264"/>
      <c r="N77" s="294"/>
      <c r="O77" s="264"/>
      <c r="P77" s="262"/>
      <c r="Q77" s="266"/>
      <c r="R77" s="266"/>
      <c r="S77" s="266"/>
      <c r="T77" s="430"/>
      <c r="U77" s="430"/>
      <c r="V77" s="430"/>
      <c r="W77" s="266"/>
      <c r="X77" s="266"/>
      <c r="Y77" s="503">
        <v>0</v>
      </c>
      <c r="Z77" s="497">
        <v>0</v>
      </c>
      <c r="AA77" s="503">
        <v>46800</v>
      </c>
      <c r="AB77" s="503"/>
      <c r="AC77" s="432"/>
    </row>
    <row r="78" spans="1:29" ht="45">
      <c r="A78" s="389">
        <v>60</v>
      </c>
      <c r="B78" s="287" t="s">
        <v>86</v>
      </c>
      <c r="C78" s="262"/>
      <c r="D78" s="428">
        <v>1348000</v>
      </c>
      <c r="E78" s="428">
        <v>1349028</v>
      </c>
      <c r="F78" s="269">
        <v>1900000</v>
      </c>
      <c r="G78" s="266">
        <f t="shared" si="29"/>
        <v>1901028</v>
      </c>
      <c r="H78" s="266">
        <f t="shared" si="29"/>
        <v>1111280</v>
      </c>
      <c r="I78" s="429">
        <f t="shared" si="9"/>
        <v>0.58456792851025863</v>
      </c>
      <c r="J78" s="264">
        <f t="shared" si="3"/>
        <v>789748</v>
      </c>
      <c r="K78" s="264">
        <v>1700000</v>
      </c>
      <c r="L78" s="264">
        <f t="shared" si="4"/>
        <v>1700000</v>
      </c>
      <c r="M78" s="264">
        <f>1098838+11414</f>
        <v>1110252</v>
      </c>
      <c r="N78" s="294">
        <v>200000</v>
      </c>
      <c r="O78" s="264">
        <f t="shared" si="5"/>
        <v>200000</v>
      </c>
      <c r="P78" s="262"/>
      <c r="Q78" s="266"/>
      <c r="R78" s="266">
        <v>1028</v>
      </c>
      <c r="S78" s="266">
        <v>1028</v>
      </c>
      <c r="T78" s="430">
        <f>V78-F78</f>
        <v>-1900000</v>
      </c>
      <c r="U78" s="430">
        <f t="shared" si="2"/>
        <v>0</v>
      </c>
      <c r="V78" s="430"/>
      <c r="W78" s="266"/>
      <c r="X78" s="266"/>
      <c r="Y78" s="503">
        <f t="shared" si="6"/>
        <v>0</v>
      </c>
      <c r="Z78" s="497">
        <f t="shared" si="7"/>
        <v>0</v>
      </c>
      <c r="AA78" s="503">
        <v>7674</v>
      </c>
      <c r="AB78" s="503"/>
      <c r="AC78" s="432"/>
    </row>
    <row r="79" spans="1:29" ht="15.75">
      <c r="A79" s="392">
        <v>61</v>
      </c>
      <c r="B79" s="290" t="s">
        <v>87</v>
      </c>
      <c r="C79" s="289" t="s">
        <v>88</v>
      </c>
      <c r="D79" s="443">
        <v>2878000</v>
      </c>
      <c r="E79" s="443">
        <v>2879028</v>
      </c>
      <c r="F79" s="316">
        <f>SUM(F71,F67,F64:F66,F62,F58)</f>
        <v>3350000</v>
      </c>
      <c r="G79" s="316">
        <f t="shared" ref="G79:X79" si="33">SUM(G71,G67,G64:G66,G62,G58)</f>
        <v>3351028</v>
      </c>
      <c r="H79" s="316">
        <f t="shared" si="33"/>
        <v>1905402</v>
      </c>
      <c r="I79" s="316">
        <f t="shared" si="33"/>
        <v>1.6301530713674015</v>
      </c>
      <c r="J79" s="316">
        <f t="shared" si="33"/>
        <v>1445626</v>
      </c>
      <c r="K79" s="316">
        <f t="shared" si="33"/>
        <v>2950000</v>
      </c>
      <c r="L79" s="316">
        <f t="shared" si="33"/>
        <v>2950000</v>
      </c>
      <c r="M79" s="316">
        <f t="shared" si="33"/>
        <v>1904374</v>
      </c>
      <c r="N79" s="316">
        <f t="shared" si="33"/>
        <v>400000</v>
      </c>
      <c r="O79" s="316">
        <f t="shared" si="33"/>
        <v>400000</v>
      </c>
      <c r="P79" s="316">
        <f t="shared" si="33"/>
        <v>0</v>
      </c>
      <c r="Q79" s="316">
        <f t="shared" si="33"/>
        <v>0</v>
      </c>
      <c r="R79" s="316">
        <f t="shared" si="33"/>
        <v>1028</v>
      </c>
      <c r="S79" s="316">
        <f t="shared" si="33"/>
        <v>1028</v>
      </c>
      <c r="T79" s="316">
        <f t="shared" si="33"/>
        <v>708264</v>
      </c>
      <c r="U79" s="316">
        <f t="shared" si="2"/>
        <v>4058264</v>
      </c>
      <c r="V79" s="316">
        <f t="shared" si="33"/>
        <v>3467506</v>
      </c>
      <c r="W79" s="316">
        <f t="shared" si="33"/>
        <v>2476297</v>
      </c>
      <c r="X79" s="316">
        <f t="shared" si="33"/>
        <v>3614004</v>
      </c>
      <c r="Y79" s="499">
        <f>SUM(Y71,Y67,Y64:Y66,Y62,Y58)</f>
        <v>4077000</v>
      </c>
      <c r="Z79" s="499">
        <f>SUM(Z71,Z67,Z64:Z66,Z62,Z58)</f>
        <v>4886142</v>
      </c>
      <c r="AA79" s="499">
        <f>SUM(AA71,AA67,AA64:AA66,AA62,AA58)</f>
        <v>3211630</v>
      </c>
      <c r="AB79" s="499">
        <f t="shared" si="8"/>
        <v>1674512</v>
      </c>
      <c r="AC79" s="436">
        <f t="shared" si="11"/>
        <v>65.729362756956306</v>
      </c>
    </row>
    <row r="80" spans="1:29" hidden="1">
      <c r="A80" s="389">
        <v>62</v>
      </c>
      <c r="B80" s="263" t="s">
        <v>89</v>
      </c>
      <c r="C80" s="262" t="s">
        <v>90</v>
      </c>
      <c r="D80" s="428">
        <v>80000</v>
      </c>
      <c r="E80" s="428">
        <v>82550</v>
      </c>
      <c r="F80" s="269">
        <v>50000</v>
      </c>
      <c r="G80" s="266">
        <f t="shared" si="29"/>
        <v>52550</v>
      </c>
      <c r="H80" s="266">
        <f t="shared" si="29"/>
        <v>7891</v>
      </c>
      <c r="I80" s="429">
        <f t="shared" si="9"/>
        <v>0.1501617507136061</v>
      </c>
      <c r="J80" s="264">
        <f t="shared" si="3"/>
        <v>44659</v>
      </c>
      <c r="K80" s="264">
        <v>45000</v>
      </c>
      <c r="L80" s="264">
        <f t="shared" si="4"/>
        <v>45000</v>
      </c>
      <c r="M80" s="264">
        <v>5341</v>
      </c>
      <c r="N80" s="294">
        <v>5000</v>
      </c>
      <c r="O80" s="264">
        <f t="shared" si="5"/>
        <v>5000</v>
      </c>
      <c r="P80" s="262"/>
      <c r="Q80" s="266"/>
      <c r="R80" s="266">
        <v>2550</v>
      </c>
      <c r="S80" s="266">
        <v>2550</v>
      </c>
      <c r="T80" s="430">
        <f>V80-F80</f>
        <v>-50000</v>
      </c>
      <c r="U80" s="430">
        <f t="shared" si="2"/>
        <v>0</v>
      </c>
      <c r="V80" s="430"/>
      <c r="W80" s="266">
        <v>9807</v>
      </c>
      <c r="X80" s="266"/>
      <c r="Y80" s="503">
        <f t="shared" si="6"/>
        <v>11768.400000000001</v>
      </c>
      <c r="Z80" s="497">
        <f t="shared" si="7"/>
        <v>11768.400000000001</v>
      </c>
      <c r="AA80" s="503"/>
      <c r="AB80" s="503">
        <f t="shared" si="8"/>
        <v>11768.400000000001</v>
      </c>
      <c r="AC80" s="432">
        <f t="shared" si="11"/>
        <v>0</v>
      </c>
    </row>
    <row r="81" spans="1:29" hidden="1">
      <c r="A81" s="389">
        <v>63</v>
      </c>
      <c r="B81" s="263" t="s">
        <v>91</v>
      </c>
      <c r="C81" s="262" t="s">
        <v>92</v>
      </c>
      <c r="D81" s="428">
        <v>0</v>
      </c>
      <c r="E81" s="428">
        <v>0</v>
      </c>
      <c r="F81" s="269">
        <f>SUM(K81,N81,Q81,)</f>
        <v>0</v>
      </c>
      <c r="G81" s="266">
        <f t="shared" si="29"/>
        <v>0</v>
      </c>
      <c r="H81" s="266">
        <f t="shared" si="29"/>
        <v>0</v>
      </c>
      <c r="I81" s="429"/>
      <c r="J81" s="264">
        <f t="shared" si="3"/>
        <v>0</v>
      </c>
      <c r="K81" s="264"/>
      <c r="L81" s="264">
        <f t="shared" si="4"/>
        <v>0</v>
      </c>
      <c r="M81" s="264"/>
      <c r="N81" s="294"/>
      <c r="O81" s="264">
        <f t="shared" si="5"/>
        <v>0</v>
      </c>
      <c r="P81" s="262"/>
      <c r="Q81" s="266"/>
      <c r="R81" s="266"/>
      <c r="S81" s="266"/>
      <c r="T81" s="430">
        <f>V81-F81</f>
        <v>0</v>
      </c>
      <c r="U81" s="430">
        <f t="shared" ref="U81:U120" si="34">F81+T81</f>
        <v>0</v>
      </c>
      <c r="V81" s="430"/>
      <c r="W81" s="266"/>
      <c r="X81" s="266"/>
      <c r="Y81" s="503">
        <f t="shared" si="6"/>
        <v>0</v>
      </c>
      <c r="Z81" s="497">
        <f t="shared" si="7"/>
        <v>0</v>
      </c>
      <c r="AA81" s="503"/>
      <c r="AB81" s="503">
        <f t="shared" si="8"/>
        <v>0</v>
      </c>
      <c r="AC81" s="432" t="e">
        <f t="shared" si="11"/>
        <v>#DIV/0!</v>
      </c>
    </row>
    <row r="82" spans="1:29" ht="15.75">
      <c r="A82" s="390">
        <v>64</v>
      </c>
      <c r="B82" s="272" t="s">
        <v>93</v>
      </c>
      <c r="C82" s="271" t="s">
        <v>94</v>
      </c>
      <c r="D82" s="433">
        <v>80000</v>
      </c>
      <c r="E82" s="433">
        <v>82550</v>
      </c>
      <c r="F82" s="441">
        <f>SUM(F80:F81)</f>
        <v>50000</v>
      </c>
      <c r="G82" s="441">
        <f t="shared" ref="G82:W82" si="35">SUM(G80:G81)</f>
        <v>52550</v>
      </c>
      <c r="H82" s="441">
        <f t="shared" si="35"/>
        <v>7891</v>
      </c>
      <c r="I82" s="441">
        <f t="shared" si="35"/>
        <v>0.1501617507136061</v>
      </c>
      <c r="J82" s="441">
        <f t="shared" si="35"/>
        <v>44659</v>
      </c>
      <c r="K82" s="441">
        <f t="shared" si="35"/>
        <v>45000</v>
      </c>
      <c r="L82" s="441">
        <f t="shared" si="35"/>
        <v>45000</v>
      </c>
      <c r="M82" s="441">
        <f t="shared" si="35"/>
        <v>5341</v>
      </c>
      <c r="N82" s="441">
        <f t="shared" si="35"/>
        <v>5000</v>
      </c>
      <c r="O82" s="441">
        <f t="shared" si="35"/>
        <v>5000</v>
      </c>
      <c r="P82" s="441">
        <f t="shared" si="35"/>
        <v>0</v>
      </c>
      <c r="Q82" s="441">
        <f t="shared" si="35"/>
        <v>0</v>
      </c>
      <c r="R82" s="441">
        <f t="shared" si="35"/>
        <v>2550</v>
      </c>
      <c r="S82" s="441">
        <f t="shared" si="35"/>
        <v>2550</v>
      </c>
      <c r="T82" s="430">
        <f>V82-F82</f>
        <v>-118</v>
      </c>
      <c r="U82" s="430">
        <f t="shared" si="34"/>
        <v>49882</v>
      </c>
      <c r="V82" s="426">
        <v>49882</v>
      </c>
      <c r="W82" s="441">
        <f t="shared" si="35"/>
        <v>9807</v>
      </c>
      <c r="X82" s="441">
        <v>20012</v>
      </c>
      <c r="Y82" s="499">
        <v>70000</v>
      </c>
      <c r="Z82" s="499">
        <v>94935</v>
      </c>
      <c r="AA82" s="499">
        <v>47724</v>
      </c>
      <c r="AB82" s="499">
        <f>Z82-AA82</f>
        <v>47211</v>
      </c>
      <c r="AC82" s="436">
        <f t="shared" si="11"/>
        <v>50.270184863327536</v>
      </c>
    </row>
    <row r="83" spans="1:29" ht="30">
      <c r="A83" s="389">
        <v>65</v>
      </c>
      <c r="B83" s="263" t="s">
        <v>95</v>
      </c>
      <c r="C83" s="262" t="s">
        <v>96</v>
      </c>
      <c r="D83" s="428">
        <v>535000</v>
      </c>
      <c r="E83" s="428">
        <v>535000</v>
      </c>
      <c r="F83" s="269">
        <f>SUM(F82,F79,F57,F44)*0.27</f>
        <v>1541160</v>
      </c>
      <c r="G83" s="266">
        <f t="shared" si="29"/>
        <v>1541160</v>
      </c>
      <c r="H83" s="266">
        <f t="shared" si="29"/>
        <v>486524</v>
      </c>
      <c r="I83" s="429">
        <f t="shared" ref="I83:I106" si="36">H83/G83</f>
        <v>0.31568688520335331</v>
      </c>
      <c r="J83" s="264">
        <f t="shared" ref="J83:J106" si="37">G83-H83</f>
        <v>1054636</v>
      </c>
      <c r="K83" s="264">
        <v>1541160</v>
      </c>
      <c r="L83" s="264">
        <f t="shared" ref="L83:L106" si="38">K83</f>
        <v>1541160</v>
      </c>
      <c r="M83" s="264">
        <v>486524</v>
      </c>
      <c r="N83" s="294"/>
      <c r="O83" s="264">
        <f t="shared" ref="O83:O106" si="39">N83</f>
        <v>0</v>
      </c>
      <c r="P83" s="262"/>
      <c r="Q83" s="266"/>
      <c r="R83" s="266"/>
      <c r="S83" s="266"/>
      <c r="T83" s="430">
        <f>V83-F83+167529-178583+5483+6890-64843</f>
        <v>-238742</v>
      </c>
      <c r="U83" s="430">
        <f t="shared" si="34"/>
        <v>1302418</v>
      </c>
      <c r="V83" s="426">
        <v>1365942</v>
      </c>
      <c r="W83" s="266">
        <v>590146</v>
      </c>
      <c r="X83" s="266">
        <v>796293</v>
      </c>
      <c r="Y83" s="503">
        <v>1519066</v>
      </c>
      <c r="Z83" s="497">
        <f t="shared" ref="Z83:Z120" si="40">SUM(Y83)</f>
        <v>1519066</v>
      </c>
      <c r="AA83" s="503">
        <v>399288</v>
      </c>
      <c r="AB83" s="503">
        <f t="shared" ref="AB83:AB117" si="41">Z83-AA83</f>
        <v>1119778</v>
      </c>
      <c r="AC83" s="432">
        <f t="shared" si="11"/>
        <v>26.28509886996352</v>
      </c>
    </row>
    <row r="84" spans="1:29" hidden="1">
      <c r="A84" s="389">
        <v>66</v>
      </c>
      <c r="B84" s="263" t="s">
        <v>97</v>
      </c>
      <c r="C84" s="262" t="s">
        <v>98</v>
      </c>
      <c r="D84" s="428">
        <v>0</v>
      </c>
      <c r="E84" s="428">
        <v>0</v>
      </c>
      <c r="F84" s="269">
        <f>SUM(K84,N84,Q84,)</f>
        <v>0</v>
      </c>
      <c r="G84" s="266">
        <f t="shared" si="29"/>
        <v>0</v>
      </c>
      <c r="H84" s="266">
        <f t="shared" si="29"/>
        <v>0</v>
      </c>
      <c r="I84" s="429" t="e">
        <f t="shared" si="36"/>
        <v>#DIV/0!</v>
      </c>
      <c r="J84" s="264">
        <f t="shared" si="37"/>
        <v>0</v>
      </c>
      <c r="K84" s="264"/>
      <c r="L84" s="264">
        <f t="shared" si="38"/>
        <v>0</v>
      </c>
      <c r="M84" s="264"/>
      <c r="N84" s="294"/>
      <c r="O84" s="264">
        <f t="shared" si="39"/>
        <v>0</v>
      </c>
      <c r="P84" s="262"/>
      <c r="Q84" s="266"/>
      <c r="R84" s="266"/>
      <c r="S84" s="266"/>
      <c r="T84" s="430">
        <f t="shared" ref="T84:T92" si="42">V84-F84</f>
        <v>0</v>
      </c>
      <c r="U84" s="430">
        <f t="shared" si="34"/>
        <v>0</v>
      </c>
      <c r="V84" s="430"/>
      <c r="W84" s="266"/>
      <c r="X84" s="266"/>
      <c r="Y84" s="503">
        <f t="shared" ref="Y84:Y114" si="43">W84/10*12</f>
        <v>0</v>
      </c>
      <c r="Z84" s="497">
        <f t="shared" si="40"/>
        <v>0</v>
      </c>
      <c r="AA84" s="503"/>
      <c r="AB84" s="503">
        <f t="shared" si="41"/>
        <v>0</v>
      </c>
      <c r="AC84" s="432" t="e">
        <f t="shared" si="11"/>
        <v>#DIV/0!</v>
      </c>
    </row>
    <row r="85" spans="1:29" hidden="1">
      <c r="A85" s="389">
        <v>67</v>
      </c>
      <c r="B85" s="263" t="s">
        <v>99</v>
      </c>
      <c r="C85" s="262" t="s">
        <v>100</v>
      </c>
      <c r="D85" s="428">
        <v>0</v>
      </c>
      <c r="E85" s="428">
        <v>0</v>
      </c>
      <c r="F85" s="269">
        <f>SUM(K85,N85,Q85,)</f>
        <v>0</v>
      </c>
      <c r="G85" s="266">
        <f t="shared" si="29"/>
        <v>0</v>
      </c>
      <c r="H85" s="266">
        <f t="shared" si="29"/>
        <v>0</v>
      </c>
      <c r="I85" s="429" t="e">
        <f t="shared" si="36"/>
        <v>#DIV/0!</v>
      </c>
      <c r="J85" s="264">
        <f t="shared" si="37"/>
        <v>0</v>
      </c>
      <c r="K85" s="264"/>
      <c r="L85" s="264">
        <f t="shared" si="38"/>
        <v>0</v>
      </c>
      <c r="M85" s="264"/>
      <c r="N85" s="294"/>
      <c r="O85" s="264">
        <f t="shared" si="39"/>
        <v>0</v>
      </c>
      <c r="P85" s="262"/>
      <c r="Q85" s="266"/>
      <c r="R85" s="266"/>
      <c r="S85" s="266"/>
      <c r="T85" s="430">
        <f t="shared" si="42"/>
        <v>0</v>
      </c>
      <c r="U85" s="430">
        <f t="shared" si="34"/>
        <v>0</v>
      </c>
      <c r="V85" s="430"/>
      <c r="W85" s="266"/>
      <c r="X85" s="266"/>
      <c r="Y85" s="503">
        <f t="shared" si="43"/>
        <v>0</v>
      </c>
      <c r="Z85" s="497">
        <f t="shared" si="40"/>
        <v>0</v>
      </c>
      <c r="AA85" s="503"/>
      <c r="AB85" s="503">
        <f t="shared" si="41"/>
        <v>0</v>
      </c>
      <c r="AC85" s="432" t="e">
        <f t="shared" si="11"/>
        <v>#DIV/0!</v>
      </c>
    </row>
    <row r="86" spans="1:29">
      <c r="A86" s="389">
        <v>68</v>
      </c>
      <c r="B86" s="263" t="s">
        <v>97</v>
      </c>
      <c r="C86" s="262" t="s">
        <v>98</v>
      </c>
      <c r="D86" s="428">
        <v>7000</v>
      </c>
      <c r="E86" s="428">
        <v>10895</v>
      </c>
      <c r="F86" s="269">
        <v>0</v>
      </c>
      <c r="G86" s="266">
        <f t="shared" si="29"/>
        <v>10895</v>
      </c>
      <c r="H86" s="266">
        <f t="shared" si="29"/>
        <v>81895</v>
      </c>
      <c r="I86" s="429">
        <f t="shared" si="36"/>
        <v>7.516750803120698</v>
      </c>
      <c r="J86" s="264">
        <f t="shared" si="37"/>
        <v>-71000</v>
      </c>
      <c r="K86" s="264"/>
      <c r="L86" s="264">
        <f t="shared" si="38"/>
        <v>0</v>
      </c>
      <c r="M86" s="264">
        <v>78000</v>
      </c>
      <c r="N86" s="294">
        <v>0</v>
      </c>
      <c r="O86" s="264">
        <v>7000</v>
      </c>
      <c r="P86" s="262"/>
      <c r="Q86" s="266"/>
      <c r="R86" s="266">
        <v>3895</v>
      </c>
      <c r="S86" s="266">
        <v>3895</v>
      </c>
      <c r="T86" s="430">
        <f t="shared" si="42"/>
        <v>21000</v>
      </c>
      <c r="U86" s="430">
        <f t="shared" si="34"/>
        <v>21000</v>
      </c>
      <c r="V86" s="426">
        <v>21000</v>
      </c>
      <c r="W86" s="266">
        <v>21000</v>
      </c>
      <c r="X86" s="266">
        <v>21000</v>
      </c>
      <c r="Y86" s="503">
        <v>30000</v>
      </c>
      <c r="Z86" s="497">
        <f t="shared" si="40"/>
        <v>30000</v>
      </c>
      <c r="AA86" s="503">
        <v>26000</v>
      </c>
      <c r="AB86" s="503">
        <f t="shared" si="41"/>
        <v>4000</v>
      </c>
      <c r="AC86" s="432">
        <f t="shared" ref="AC86:AC118" si="44">(AA86/Z86)*100</f>
        <v>86.666666666666671</v>
      </c>
    </row>
    <row r="87" spans="1:29">
      <c r="A87" s="390">
        <v>69</v>
      </c>
      <c r="B87" s="272" t="s">
        <v>103</v>
      </c>
      <c r="C87" s="271" t="s">
        <v>104</v>
      </c>
      <c r="D87" s="433">
        <v>43000</v>
      </c>
      <c r="E87" s="433">
        <v>181960</v>
      </c>
      <c r="F87" s="441">
        <f>SUM(F88:F90)</f>
        <v>50000</v>
      </c>
      <c r="G87" s="442">
        <f t="shared" si="29"/>
        <v>188960</v>
      </c>
      <c r="H87" s="442">
        <f t="shared" si="29"/>
        <v>100000</v>
      </c>
      <c r="I87" s="444">
        <f>H87/G87</f>
        <v>0.52921253175275196</v>
      </c>
      <c r="J87" s="273">
        <f t="shared" ref="J87:S87" si="45">SUM(J88:J92)</f>
        <v>88960</v>
      </c>
      <c r="K87" s="273">
        <f t="shared" si="45"/>
        <v>50000</v>
      </c>
      <c r="L87" s="273">
        <f t="shared" si="45"/>
        <v>188960</v>
      </c>
      <c r="M87" s="273">
        <f t="shared" si="45"/>
        <v>100000</v>
      </c>
      <c r="N87" s="273">
        <f t="shared" si="45"/>
        <v>0</v>
      </c>
      <c r="O87" s="273">
        <f t="shared" si="45"/>
        <v>0</v>
      </c>
      <c r="P87" s="273">
        <f t="shared" si="45"/>
        <v>0</v>
      </c>
      <c r="Q87" s="274">
        <f t="shared" si="45"/>
        <v>0</v>
      </c>
      <c r="R87" s="274">
        <f t="shared" si="45"/>
        <v>0</v>
      </c>
      <c r="S87" s="274">
        <f t="shared" si="45"/>
        <v>0</v>
      </c>
      <c r="T87" s="430">
        <f t="shared" si="42"/>
        <v>42830</v>
      </c>
      <c r="U87" s="430">
        <f t="shared" si="34"/>
        <v>92830</v>
      </c>
      <c r="V87" s="426">
        <v>92830</v>
      </c>
      <c r="W87" s="266">
        <v>92778</v>
      </c>
      <c r="X87" s="266">
        <v>92916</v>
      </c>
      <c r="Y87" s="503">
        <v>70000</v>
      </c>
      <c r="Z87" s="497">
        <f t="shared" si="40"/>
        <v>70000</v>
      </c>
      <c r="AA87" s="503">
        <v>43240</v>
      </c>
      <c r="AB87" s="503">
        <f t="shared" si="41"/>
        <v>26760</v>
      </c>
      <c r="AC87" s="432">
        <f t="shared" si="44"/>
        <v>61.771428571428565</v>
      </c>
    </row>
    <row r="88" spans="1:29" hidden="1">
      <c r="A88" s="389">
        <v>70</v>
      </c>
      <c r="B88" s="287" t="s">
        <v>820</v>
      </c>
      <c r="C88" s="262"/>
      <c r="D88" s="428">
        <v>0</v>
      </c>
      <c r="E88" s="428">
        <v>0</v>
      </c>
      <c r="F88" s="269">
        <v>50000</v>
      </c>
      <c r="G88" s="266">
        <f t="shared" si="29"/>
        <v>50000</v>
      </c>
      <c r="H88" s="266">
        <f t="shared" si="29"/>
        <v>0</v>
      </c>
      <c r="I88" s="429">
        <f t="shared" si="36"/>
        <v>0</v>
      </c>
      <c r="J88" s="264">
        <f t="shared" si="37"/>
        <v>50000</v>
      </c>
      <c r="K88" s="264">
        <v>50000</v>
      </c>
      <c r="L88" s="264">
        <f t="shared" si="38"/>
        <v>50000</v>
      </c>
      <c r="M88" s="264"/>
      <c r="N88" s="294"/>
      <c r="O88" s="264">
        <f t="shared" si="39"/>
        <v>0</v>
      </c>
      <c r="P88" s="262"/>
      <c r="Q88" s="266"/>
      <c r="R88" s="266"/>
      <c r="S88" s="266"/>
      <c r="T88" s="430">
        <f t="shared" si="42"/>
        <v>-50000</v>
      </c>
      <c r="U88" s="430">
        <f t="shared" si="34"/>
        <v>0</v>
      </c>
      <c r="V88" s="430"/>
      <c r="W88" s="266"/>
      <c r="X88" s="266"/>
      <c r="Y88" s="503">
        <f t="shared" si="43"/>
        <v>0</v>
      </c>
      <c r="Z88" s="497">
        <f t="shared" si="40"/>
        <v>0</v>
      </c>
      <c r="AA88" s="503"/>
      <c r="AB88" s="503">
        <f t="shared" si="41"/>
        <v>0</v>
      </c>
      <c r="AC88" s="432" t="e">
        <f t="shared" si="44"/>
        <v>#DIV/0!</v>
      </c>
    </row>
    <row r="89" spans="1:29" hidden="1">
      <c r="A89" s="389">
        <v>71</v>
      </c>
      <c r="B89" s="287"/>
      <c r="C89" s="262"/>
      <c r="D89" s="428">
        <v>0</v>
      </c>
      <c r="E89" s="428">
        <v>0</v>
      </c>
      <c r="F89" s="269">
        <f>SUM(K89,N89,Q89,)</f>
        <v>0</v>
      </c>
      <c r="G89" s="266">
        <f t="shared" si="29"/>
        <v>0</v>
      </c>
      <c r="H89" s="266">
        <f t="shared" si="29"/>
        <v>0</v>
      </c>
      <c r="I89" s="429" t="e">
        <f t="shared" si="36"/>
        <v>#DIV/0!</v>
      </c>
      <c r="J89" s="264">
        <f t="shared" si="37"/>
        <v>0</v>
      </c>
      <c r="K89" s="264"/>
      <c r="L89" s="264">
        <f t="shared" si="38"/>
        <v>0</v>
      </c>
      <c r="M89" s="264"/>
      <c r="N89" s="294"/>
      <c r="O89" s="264">
        <f t="shared" si="39"/>
        <v>0</v>
      </c>
      <c r="P89" s="262"/>
      <c r="Q89" s="266"/>
      <c r="R89" s="266"/>
      <c r="S89" s="266"/>
      <c r="T89" s="430">
        <f t="shared" si="42"/>
        <v>0</v>
      </c>
      <c r="U89" s="430">
        <f t="shared" si="34"/>
        <v>0</v>
      </c>
      <c r="V89" s="430"/>
      <c r="W89" s="266"/>
      <c r="X89" s="266"/>
      <c r="Y89" s="503">
        <f t="shared" si="43"/>
        <v>0</v>
      </c>
      <c r="Z89" s="497">
        <f t="shared" si="40"/>
        <v>0</v>
      </c>
      <c r="AA89" s="503"/>
      <c r="AB89" s="503">
        <f t="shared" si="41"/>
        <v>0</v>
      </c>
      <c r="AC89" s="432" t="e">
        <f t="shared" si="44"/>
        <v>#DIV/0!</v>
      </c>
    </row>
    <row r="90" spans="1:29" hidden="1">
      <c r="A90" s="389">
        <v>72</v>
      </c>
      <c r="B90" s="287" t="s">
        <v>503</v>
      </c>
      <c r="C90" s="262"/>
      <c r="D90" s="428">
        <v>43000</v>
      </c>
      <c r="E90" s="428">
        <v>181960</v>
      </c>
      <c r="F90" s="269">
        <v>0</v>
      </c>
      <c r="G90" s="266">
        <f t="shared" si="29"/>
        <v>138960</v>
      </c>
      <c r="H90" s="266">
        <f t="shared" si="29"/>
        <v>100000</v>
      </c>
      <c r="I90" s="429">
        <f t="shared" si="36"/>
        <v>0.71963154864709267</v>
      </c>
      <c r="J90" s="264">
        <f t="shared" si="37"/>
        <v>38960</v>
      </c>
      <c r="K90" s="264">
        <v>0</v>
      </c>
      <c r="L90" s="264">
        <f>K90+138961-1</f>
        <v>138960</v>
      </c>
      <c r="M90" s="264">
        <v>100000</v>
      </c>
      <c r="N90" s="294"/>
      <c r="O90" s="264">
        <f t="shared" si="39"/>
        <v>0</v>
      </c>
      <c r="P90" s="262"/>
      <c r="Q90" s="266"/>
      <c r="R90" s="266"/>
      <c r="S90" s="266"/>
      <c r="T90" s="430">
        <f t="shared" si="42"/>
        <v>0</v>
      </c>
      <c r="U90" s="430">
        <f t="shared" si="34"/>
        <v>0</v>
      </c>
      <c r="V90" s="430"/>
      <c r="W90" s="266"/>
      <c r="X90" s="266"/>
      <c r="Y90" s="503">
        <f t="shared" si="43"/>
        <v>0</v>
      </c>
      <c r="Z90" s="497">
        <f t="shared" si="40"/>
        <v>0</v>
      </c>
      <c r="AA90" s="503"/>
      <c r="AB90" s="503">
        <f t="shared" si="41"/>
        <v>0</v>
      </c>
      <c r="AC90" s="432" t="e">
        <f t="shared" si="44"/>
        <v>#DIV/0!</v>
      </c>
    </row>
    <row r="91" spans="1:29" hidden="1">
      <c r="A91" s="389">
        <v>73</v>
      </c>
      <c r="B91" s="287" t="s">
        <v>107</v>
      </c>
      <c r="C91" s="262"/>
      <c r="D91" s="428">
        <v>0</v>
      </c>
      <c r="E91" s="428">
        <v>0</v>
      </c>
      <c r="F91" s="269">
        <f>SUM(K91,N91,Q91,)</f>
        <v>0</v>
      </c>
      <c r="G91" s="266">
        <f t="shared" si="29"/>
        <v>0</v>
      </c>
      <c r="H91" s="266">
        <f t="shared" si="29"/>
        <v>0</v>
      </c>
      <c r="I91" s="429" t="e">
        <f t="shared" si="36"/>
        <v>#DIV/0!</v>
      </c>
      <c r="J91" s="264">
        <f t="shared" si="37"/>
        <v>0</v>
      </c>
      <c r="K91" s="264"/>
      <c r="L91" s="264">
        <f t="shared" si="38"/>
        <v>0</v>
      </c>
      <c r="M91" s="264"/>
      <c r="N91" s="294"/>
      <c r="O91" s="264">
        <f t="shared" si="39"/>
        <v>0</v>
      </c>
      <c r="P91" s="262"/>
      <c r="Q91" s="266"/>
      <c r="R91" s="266"/>
      <c r="S91" s="266"/>
      <c r="T91" s="430">
        <f t="shared" si="42"/>
        <v>0</v>
      </c>
      <c r="U91" s="430">
        <f t="shared" si="34"/>
        <v>0</v>
      </c>
      <c r="V91" s="430"/>
      <c r="W91" s="266"/>
      <c r="X91" s="266"/>
      <c r="Y91" s="503">
        <f t="shared" si="43"/>
        <v>0</v>
      </c>
      <c r="Z91" s="497">
        <f t="shared" si="40"/>
        <v>0</v>
      </c>
      <c r="AA91" s="503"/>
      <c r="AB91" s="503">
        <f t="shared" si="41"/>
        <v>0</v>
      </c>
      <c r="AC91" s="432" t="e">
        <f t="shared" si="44"/>
        <v>#DIV/0!</v>
      </c>
    </row>
    <row r="92" spans="1:29" hidden="1">
      <c r="A92" s="389">
        <v>74</v>
      </c>
      <c r="B92" s="287" t="s">
        <v>108</v>
      </c>
      <c r="C92" s="262"/>
      <c r="D92" s="428">
        <v>0</v>
      </c>
      <c r="E92" s="428">
        <v>0</v>
      </c>
      <c r="F92" s="269">
        <f>SUM(K92,N92,Q92,)</f>
        <v>0</v>
      </c>
      <c r="G92" s="266">
        <f t="shared" si="29"/>
        <v>0</v>
      </c>
      <c r="H92" s="266">
        <f t="shared" si="29"/>
        <v>0</v>
      </c>
      <c r="I92" s="429" t="e">
        <f t="shared" si="36"/>
        <v>#DIV/0!</v>
      </c>
      <c r="J92" s="264">
        <f t="shared" si="37"/>
        <v>0</v>
      </c>
      <c r="K92" s="264"/>
      <c r="L92" s="264">
        <f t="shared" si="38"/>
        <v>0</v>
      </c>
      <c r="M92" s="264"/>
      <c r="N92" s="294"/>
      <c r="O92" s="264">
        <f t="shared" si="39"/>
        <v>0</v>
      </c>
      <c r="P92" s="262"/>
      <c r="Q92" s="266"/>
      <c r="R92" s="266"/>
      <c r="S92" s="266"/>
      <c r="T92" s="430">
        <f t="shared" si="42"/>
        <v>0</v>
      </c>
      <c r="U92" s="430">
        <f t="shared" si="34"/>
        <v>0</v>
      </c>
      <c r="V92" s="430"/>
      <c r="W92" s="266"/>
      <c r="X92" s="266"/>
      <c r="Y92" s="503">
        <f t="shared" si="43"/>
        <v>0</v>
      </c>
      <c r="Z92" s="497">
        <f t="shared" si="40"/>
        <v>0</v>
      </c>
      <c r="AA92" s="503"/>
      <c r="AB92" s="503">
        <f t="shared" si="41"/>
        <v>0</v>
      </c>
      <c r="AC92" s="432" t="e">
        <f t="shared" si="44"/>
        <v>#DIV/0!</v>
      </c>
    </row>
    <row r="93" spans="1:29">
      <c r="A93" s="390">
        <v>75</v>
      </c>
      <c r="B93" s="272" t="s">
        <v>109</v>
      </c>
      <c r="C93" s="271" t="s">
        <v>110</v>
      </c>
      <c r="D93" s="433">
        <v>585000</v>
      </c>
      <c r="E93" s="433">
        <v>727855</v>
      </c>
      <c r="F93" s="441">
        <f>SUM(F87,F83:F86)</f>
        <v>1591160</v>
      </c>
      <c r="G93" s="441">
        <f t="shared" ref="G93:V93" si="46">SUM(G87,G83:G86)</f>
        <v>1741015</v>
      </c>
      <c r="H93" s="441">
        <f t="shared" si="46"/>
        <v>668419</v>
      </c>
      <c r="I93" s="441" t="e">
        <f t="shared" si="46"/>
        <v>#DIV/0!</v>
      </c>
      <c r="J93" s="441">
        <f t="shared" si="46"/>
        <v>1072596</v>
      </c>
      <c r="K93" s="441">
        <f t="shared" si="46"/>
        <v>1591160</v>
      </c>
      <c r="L93" s="441">
        <f t="shared" si="46"/>
        <v>1730120</v>
      </c>
      <c r="M93" s="441">
        <f t="shared" si="46"/>
        <v>664524</v>
      </c>
      <c r="N93" s="441">
        <f t="shared" si="46"/>
        <v>0</v>
      </c>
      <c r="O93" s="441">
        <f t="shared" si="46"/>
        <v>7000</v>
      </c>
      <c r="P93" s="441">
        <f t="shared" si="46"/>
        <v>0</v>
      </c>
      <c r="Q93" s="441">
        <f t="shared" si="46"/>
        <v>0</v>
      </c>
      <c r="R93" s="441">
        <f t="shared" si="46"/>
        <v>3895</v>
      </c>
      <c r="S93" s="441">
        <f t="shared" si="46"/>
        <v>3895</v>
      </c>
      <c r="T93" s="441">
        <f t="shared" si="46"/>
        <v>-174912</v>
      </c>
      <c r="U93" s="441">
        <f t="shared" si="34"/>
        <v>1416248</v>
      </c>
      <c r="V93" s="441">
        <f t="shared" si="46"/>
        <v>1479772</v>
      </c>
      <c r="W93" s="441">
        <f>SUM(W87,W83:W86)</f>
        <v>703924</v>
      </c>
      <c r="X93" s="441">
        <f>SUM(X87,X83:X86)</f>
        <v>910209</v>
      </c>
      <c r="Y93" s="505">
        <f>SUM(Y87,Y83:Y86)</f>
        <v>1619066</v>
      </c>
      <c r="Z93" s="505">
        <f>SUM(Z87,Z83:Z86)</f>
        <v>1619066</v>
      </c>
      <c r="AA93" s="505">
        <f>SUM(AA87,AA83:AA86)</f>
        <v>468528</v>
      </c>
      <c r="AB93" s="505">
        <f t="shared" si="41"/>
        <v>1150538</v>
      </c>
      <c r="AC93" s="432">
        <f t="shared" si="44"/>
        <v>28.938165584355424</v>
      </c>
    </row>
    <row r="94" spans="1:29" s="393" customFormat="1" ht="18.75">
      <c r="A94" s="1468" t="s">
        <v>111</v>
      </c>
      <c r="B94" s="1469"/>
      <c r="C94" s="445" t="s">
        <v>112</v>
      </c>
      <c r="D94" s="446">
        <v>6159000</v>
      </c>
      <c r="E94" s="446">
        <v>6632304</v>
      </c>
      <c r="F94" s="447">
        <f t="shared" ref="F94:T94" si="47">SUM(F93,F82,F79,F57,F44)</f>
        <v>7299160</v>
      </c>
      <c r="G94" s="447">
        <f t="shared" si="47"/>
        <v>7834464</v>
      </c>
      <c r="H94" s="447">
        <f t="shared" si="47"/>
        <v>3751152</v>
      </c>
      <c r="I94" s="447" t="e">
        <f t="shared" si="47"/>
        <v>#DIV/0!</v>
      </c>
      <c r="J94" s="447">
        <f t="shared" si="47"/>
        <v>4083312</v>
      </c>
      <c r="K94" s="447">
        <f t="shared" si="47"/>
        <v>6712160</v>
      </c>
      <c r="L94" s="447">
        <f t="shared" si="47"/>
        <v>6858120</v>
      </c>
      <c r="M94" s="447">
        <f t="shared" si="47"/>
        <v>3730279</v>
      </c>
      <c r="N94" s="447">
        <f t="shared" si="47"/>
        <v>587000</v>
      </c>
      <c r="O94" s="447">
        <f t="shared" si="47"/>
        <v>642000</v>
      </c>
      <c r="P94" s="447">
        <f t="shared" si="47"/>
        <v>0</v>
      </c>
      <c r="Q94" s="447">
        <f t="shared" si="47"/>
        <v>0</v>
      </c>
      <c r="R94" s="447">
        <f t="shared" si="47"/>
        <v>334344</v>
      </c>
      <c r="S94" s="447">
        <f t="shared" si="47"/>
        <v>20873</v>
      </c>
      <c r="T94" s="447">
        <f t="shared" si="47"/>
        <v>502543</v>
      </c>
      <c r="U94" s="447">
        <f t="shared" si="34"/>
        <v>7801703</v>
      </c>
      <c r="V94" s="447">
        <f t="shared" ref="V94:AA94" si="48">SUM(V93,V82,V79,V57,V44)</f>
        <v>7254160</v>
      </c>
      <c r="W94" s="447">
        <f t="shared" si="48"/>
        <v>4611206</v>
      </c>
      <c r="X94" s="447">
        <f t="shared" si="48"/>
        <v>6537627</v>
      </c>
      <c r="Y94" s="506">
        <f t="shared" si="48"/>
        <v>8209066</v>
      </c>
      <c r="Z94" s="506">
        <f t="shared" si="48"/>
        <v>8982738</v>
      </c>
      <c r="AA94" s="506">
        <f t="shared" si="48"/>
        <v>4817975</v>
      </c>
      <c r="AB94" s="506">
        <f t="shared" si="41"/>
        <v>4164763</v>
      </c>
      <c r="AC94" s="432">
        <f t="shared" si="44"/>
        <v>53.63592926789137</v>
      </c>
    </row>
    <row r="95" spans="1:29">
      <c r="A95" s="390">
        <v>76</v>
      </c>
      <c r="B95" s="272" t="s">
        <v>113</v>
      </c>
      <c r="C95" s="271" t="s">
        <v>114</v>
      </c>
      <c r="D95" s="433">
        <v>0</v>
      </c>
      <c r="E95" s="433">
        <v>0</v>
      </c>
      <c r="F95" s="441" t="e">
        <f t="shared" ref="F95:H104" si="49">SUM(K95,N95,Q95,)</f>
        <v>#REF!</v>
      </c>
      <c r="G95" s="442" t="e">
        <f t="shared" si="49"/>
        <v>#REF!</v>
      </c>
      <c r="H95" s="442">
        <f t="shared" si="49"/>
        <v>0</v>
      </c>
      <c r="I95" s="429" t="e">
        <f t="shared" si="36"/>
        <v>#REF!</v>
      </c>
      <c r="J95" s="264" t="e">
        <f t="shared" si="37"/>
        <v>#REF!</v>
      </c>
      <c r="K95" s="273" t="e">
        <f>SUM(#REF!)</f>
        <v>#REF!</v>
      </c>
      <c r="L95" s="264" t="e">
        <f t="shared" si="38"/>
        <v>#REF!</v>
      </c>
      <c r="M95" s="273"/>
      <c r="N95" s="273" t="e">
        <f>SUM(#REF!)</f>
        <v>#REF!</v>
      </c>
      <c r="O95" s="264" t="e">
        <f t="shared" si="39"/>
        <v>#REF!</v>
      </c>
      <c r="P95" s="262"/>
      <c r="Q95" s="266"/>
      <c r="R95" s="266"/>
      <c r="S95" s="266"/>
      <c r="T95" s="430" t="e">
        <f t="shared" ref="T95:T106" si="50">V95-F95</f>
        <v>#REF!</v>
      </c>
      <c r="U95" s="430" t="e">
        <f t="shared" si="34"/>
        <v>#REF!</v>
      </c>
      <c r="V95" s="430"/>
      <c r="W95" s="266"/>
      <c r="X95" s="266"/>
      <c r="Y95" s="503">
        <f t="shared" si="43"/>
        <v>0</v>
      </c>
      <c r="Z95" s="497">
        <f t="shared" si="40"/>
        <v>0</v>
      </c>
      <c r="AA95" s="503"/>
      <c r="AB95" s="503">
        <f t="shared" si="41"/>
        <v>0</v>
      </c>
      <c r="AC95" s="432"/>
    </row>
    <row r="96" spans="1:29">
      <c r="A96" s="389">
        <v>78</v>
      </c>
      <c r="B96" s="309" t="s">
        <v>115</v>
      </c>
      <c r="C96" s="271" t="s">
        <v>116</v>
      </c>
      <c r="D96" s="428">
        <v>0</v>
      </c>
      <c r="E96" s="428">
        <v>0</v>
      </c>
      <c r="F96" s="269">
        <f t="shared" si="49"/>
        <v>0</v>
      </c>
      <c r="G96" s="266">
        <f t="shared" si="49"/>
        <v>0</v>
      </c>
      <c r="H96" s="266">
        <f t="shared" si="49"/>
        <v>0</v>
      </c>
      <c r="I96" s="429" t="e">
        <f t="shared" si="36"/>
        <v>#DIV/0!</v>
      </c>
      <c r="J96" s="264">
        <f t="shared" si="37"/>
        <v>0</v>
      </c>
      <c r="K96" s="264"/>
      <c r="L96" s="264">
        <f t="shared" si="38"/>
        <v>0</v>
      </c>
      <c r="M96" s="264"/>
      <c r="N96" s="294"/>
      <c r="O96" s="264">
        <f t="shared" si="39"/>
        <v>0</v>
      </c>
      <c r="P96" s="262"/>
      <c r="Q96" s="266"/>
      <c r="R96" s="266"/>
      <c r="S96" s="266"/>
      <c r="T96" s="430">
        <f t="shared" si="50"/>
        <v>0</v>
      </c>
      <c r="U96" s="430">
        <f t="shared" si="34"/>
        <v>0</v>
      </c>
      <c r="V96" s="430"/>
      <c r="W96" s="266"/>
      <c r="X96" s="266"/>
      <c r="Y96" s="503">
        <f t="shared" si="43"/>
        <v>0</v>
      </c>
      <c r="Z96" s="497">
        <f t="shared" si="40"/>
        <v>0</v>
      </c>
      <c r="AA96" s="503"/>
      <c r="AB96" s="503">
        <f t="shared" si="41"/>
        <v>0</v>
      </c>
      <c r="AC96" s="432"/>
    </row>
    <row r="97" spans="1:29" s="391" customFormat="1">
      <c r="A97" s="390">
        <v>79</v>
      </c>
      <c r="B97" s="272" t="s">
        <v>117</v>
      </c>
      <c r="C97" s="271" t="s">
        <v>118</v>
      </c>
      <c r="D97" s="433">
        <v>0</v>
      </c>
      <c r="E97" s="433">
        <v>0</v>
      </c>
      <c r="F97" s="441">
        <f t="shared" si="49"/>
        <v>0</v>
      </c>
      <c r="G97" s="442">
        <f t="shared" si="49"/>
        <v>0</v>
      </c>
      <c r="H97" s="442">
        <f t="shared" si="49"/>
        <v>0</v>
      </c>
      <c r="I97" s="429" t="e">
        <f t="shared" si="36"/>
        <v>#DIV/0!</v>
      </c>
      <c r="J97" s="264">
        <f t="shared" si="37"/>
        <v>0</v>
      </c>
      <c r="K97" s="273">
        <f>SUM(K98:K100)</f>
        <v>0</v>
      </c>
      <c r="L97" s="264">
        <f t="shared" si="38"/>
        <v>0</v>
      </c>
      <c r="M97" s="273"/>
      <c r="N97" s="273">
        <f>SUM(N98:N100)</f>
        <v>0</v>
      </c>
      <c r="O97" s="264">
        <f t="shared" si="39"/>
        <v>0</v>
      </c>
      <c r="P97" s="271"/>
      <c r="Q97" s="442"/>
      <c r="R97" s="442"/>
      <c r="S97" s="442"/>
      <c r="T97" s="430">
        <f t="shared" si="50"/>
        <v>0</v>
      </c>
      <c r="U97" s="430">
        <f t="shared" si="34"/>
        <v>0</v>
      </c>
      <c r="V97" s="430"/>
      <c r="W97" s="442"/>
      <c r="X97" s="442"/>
      <c r="Y97" s="496">
        <f t="shared" si="43"/>
        <v>0</v>
      </c>
      <c r="Z97" s="498">
        <v>67689</v>
      </c>
      <c r="AA97" s="496">
        <f>SUM(AA98:AA100)</f>
        <v>67689</v>
      </c>
      <c r="AB97" s="496">
        <f t="shared" si="41"/>
        <v>0</v>
      </c>
      <c r="AC97" s="436"/>
    </row>
    <row r="98" spans="1:29">
      <c r="A98" s="389">
        <v>80</v>
      </c>
      <c r="B98" s="515" t="s">
        <v>946</v>
      </c>
      <c r="C98" s="262"/>
      <c r="D98" s="428">
        <v>0</v>
      </c>
      <c r="E98" s="428">
        <v>0</v>
      </c>
      <c r="F98" s="269">
        <f t="shared" si="49"/>
        <v>0</v>
      </c>
      <c r="G98" s="266">
        <f t="shared" si="49"/>
        <v>0</v>
      </c>
      <c r="H98" s="266">
        <f t="shared" si="49"/>
        <v>0</v>
      </c>
      <c r="I98" s="429" t="e">
        <f t="shared" si="36"/>
        <v>#DIV/0!</v>
      </c>
      <c r="J98" s="264">
        <f t="shared" si="37"/>
        <v>0</v>
      </c>
      <c r="K98" s="264"/>
      <c r="L98" s="264">
        <f t="shared" si="38"/>
        <v>0</v>
      </c>
      <c r="M98" s="264"/>
      <c r="N98" s="294"/>
      <c r="O98" s="264">
        <f t="shared" si="39"/>
        <v>0</v>
      </c>
      <c r="P98" s="262"/>
      <c r="Q98" s="266"/>
      <c r="R98" s="266"/>
      <c r="S98" s="266"/>
      <c r="T98" s="430">
        <f t="shared" si="50"/>
        <v>0</v>
      </c>
      <c r="U98" s="430">
        <f t="shared" si="34"/>
        <v>0</v>
      </c>
      <c r="V98" s="430"/>
      <c r="W98" s="266"/>
      <c r="X98" s="266"/>
      <c r="Y98" s="503">
        <f t="shared" si="43"/>
        <v>0</v>
      </c>
      <c r="Z98" s="497">
        <f t="shared" si="40"/>
        <v>0</v>
      </c>
      <c r="AA98" s="503">
        <v>12598</v>
      </c>
      <c r="AB98" s="503"/>
      <c r="AC98" s="432"/>
    </row>
    <row r="99" spans="1:29">
      <c r="A99" s="389">
        <v>81</v>
      </c>
      <c r="B99" s="515" t="s">
        <v>947</v>
      </c>
      <c r="C99" s="262"/>
      <c r="D99" s="428">
        <v>0</v>
      </c>
      <c r="E99" s="428">
        <v>0</v>
      </c>
      <c r="F99" s="269">
        <f t="shared" si="49"/>
        <v>0</v>
      </c>
      <c r="G99" s="266">
        <f t="shared" si="49"/>
        <v>0</v>
      </c>
      <c r="H99" s="266">
        <f t="shared" si="49"/>
        <v>0</v>
      </c>
      <c r="I99" s="429" t="e">
        <f t="shared" si="36"/>
        <v>#DIV/0!</v>
      </c>
      <c r="J99" s="264">
        <f t="shared" si="37"/>
        <v>0</v>
      </c>
      <c r="K99" s="264"/>
      <c r="L99" s="264">
        <f t="shared" si="38"/>
        <v>0</v>
      </c>
      <c r="M99" s="264"/>
      <c r="N99" s="294"/>
      <c r="O99" s="264">
        <f t="shared" si="39"/>
        <v>0</v>
      </c>
      <c r="P99" s="262"/>
      <c r="Q99" s="266"/>
      <c r="R99" s="266"/>
      <c r="S99" s="266"/>
      <c r="T99" s="430">
        <f t="shared" si="50"/>
        <v>0</v>
      </c>
      <c r="U99" s="430">
        <f t="shared" si="34"/>
        <v>0</v>
      </c>
      <c r="V99" s="430"/>
      <c r="W99" s="266"/>
      <c r="X99" s="266"/>
      <c r="Y99" s="503">
        <f t="shared" si="43"/>
        <v>0</v>
      </c>
      <c r="Z99" s="497">
        <f t="shared" si="40"/>
        <v>0</v>
      </c>
      <c r="AA99" s="503">
        <v>10800</v>
      </c>
      <c r="AB99" s="503"/>
      <c r="AC99" s="432"/>
    </row>
    <row r="100" spans="1:29">
      <c r="A100" s="389">
        <v>82</v>
      </c>
      <c r="B100" s="515" t="s">
        <v>948</v>
      </c>
      <c r="C100" s="262"/>
      <c r="D100" s="428">
        <v>0</v>
      </c>
      <c r="E100" s="428">
        <v>0</v>
      </c>
      <c r="F100" s="269">
        <f t="shared" si="49"/>
        <v>0</v>
      </c>
      <c r="G100" s="266">
        <f t="shared" si="49"/>
        <v>0</v>
      </c>
      <c r="H100" s="266">
        <f t="shared" si="49"/>
        <v>0</v>
      </c>
      <c r="I100" s="429" t="e">
        <f t="shared" si="36"/>
        <v>#DIV/0!</v>
      </c>
      <c r="J100" s="264">
        <f t="shared" si="37"/>
        <v>0</v>
      </c>
      <c r="K100" s="264"/>
      <c r="L100" s="264">
        <f t="shared" si="38"/>
        <v>0</v>
      </c>
      <c r="M100" s="264"/>
      <c r="N100" s="294"/>
      <c r="O100" s="264">
        <f t="shared" si="39"/>
        <v>0</v>
      </c>
      <c r="P100" s="262"/>
      <c r="Q100" s="266"/>
      <c r="R100" s="266"/>
      <c r="S100" s="266"/>
      <c r="T100" s="430">
        <f t="shared" si="50"/>
        <v>0</v>
      </c>
      <c r="U100" s="430">
        <f t="shared" si="34"/>
        <v>0</v>
      </c>
      <c r="V100" s="430"/>
      <c r="W100" s="266"/>
      <c r="X100" s="266"/>
      <c r="Y100" s="503">
        <f t="shared" si="43"/>
        <v>0</v>
      </c>
      <c r="Z100" s="497">
        <f t="shared" si="40"/>
        <v>0</v>
      </c>
      <c r="AA100" s="503">
        <v>44291</v>
      </c>
      <c r="AB100" s="503"/>
      <c r="AC100" s="432"/>
    </row>
    <row r="101" spans="1:29" s="391" customFormat="1">
      <c r="A101" s="390">
        <v>86</v>
      </c>
      <c r="B101" s="272" t="s">
        <v>119</v>
      </c>
      <c r="C101" s="271" t="s">
        <v>120</v>
      </c>
      <c r="D101" s="433">
        <v>273000</v>
      </c>
      <c r="E101" s="433">
        <v>273000</v>
      </c>
      <c r="F101" s="441">
        <f>SUM(F102)</f>
        <v>500000</v>
      </c>
      <c r="G101" s="442">
        <f t="shared" si="49"/>
        <v>500000</v>
      </c>
      <c r="H101" s="442">
        <f t="shared" si="49"/>
        <v>34543</v>
      </c>
      <c r="I101" s="444">
        <f>H101/G101</f>
        <v>6.9085999999999995E-2</v>
      </c>
      <c r="J101" s="273">
        <f t="shared" ref="J101:S101" si="51">SUM(J102:J103)</f>
        <v>465457</v>
      </c>
      <c r="K101" s="273">
        <f t="shared" si="51"/>
        <v>500000</v>
      </c>
      <c r="L101" s="273">
        <f t="shared" si="51"/>
        <v>500000</v>
      </c>
      <c r="M101" s="273">
        <f t="shared" si="51"/>
        <v>34543</v>
      </c>
      <c r="N101" s="273">
        <f t="shared" si="51"/>
        <v>0</v>
      </c>
      <c r="O101" s="273">
        <f t="shared" si="51"/>
        <v>0</v>
      </c>
      <c r="P101" s="273">
        <f t="shared" si="51"/>
        <v>0</v>
      </c>
      <c r="Q101" s="274">
        <f t="shared" si="51"/>
        <v>0</v>
      </c>
      <c r="R101" s="274">
        <f t="shared" si="51"/>
        <v>0</v>
      </c>
      <c r="S101" s="274">
        <f t="shared" si="51"/>
        <v>0</v>
      </c>
      <c r="T101" s="430">
        <f t="shared" si="50"/>
        <v>0</v>
      </c>
      <c r="U101" s="430">
        <f t="shared" si="34"/>
        <v>500000</v>
      </c>
      <c r="V101" s="426">
        <v>500000</v>
      </c>
      <c r="W101" s="442">
        <v>15739</v>
      </c>
      <c r="X101" s="442">
        <v>32179</v>
      </c>
      <c r="Y101" s="503">
        <v>3000000</v>
      </c>
      <c r="Z101" s="497">
        <v>3401210</v>
      </c>
      <c r="AA101" s="503">
        <f>SUM(AA102:AA103)</f>
        <v>42114</v>
      </c>
      <c r="AB101" s="503">
        <f t="shared" si="41"/>
        <v>3359096</v>
      </c>
      <c r="AC101" s="432">
        <f t="shared" si="44"/>
        <v>1.2382064030153974</v>
      </c>
    </row>
    <row r="102" spans="1:29">
      <c r="A102" s="389">
        <v>87</v>
      </c>
      <c r="B102" s="514" t="s">
        <v>949</v>
      </c>
      <c r="C102" s="262"/>
      <c r="D102" s="428">
        <v>273000</v>
      </c>
      <c r="E102" s="428">
        <v>273000</v>
      </c>
      <c r="F102" s="269">
        <v>500000</v>
      </c>
      <c r="G102" s="266">
        <f t="shared" si="49"/>
        <v>500000</v>
      </c>
      <c r="H102" s="266">
        <f t="shared" si="49"/>
        <v>34543</v>
      </c>
      <c r="I102" s="429">
        <f t="shared" si="36"/>
        <v>6.9085999999999995E-2</v>
      </c>
      <c r="J102" s="264">
        <f t="shared" si="37"/>
        <v>465457</v>
      </c>
      <c r="K102" s="264">
        <v>500000</v>
      </c>
      <c r="L102" s="264">
        <f t="shared" si="38"/>
        <v>500000</v>
      </c>
      <c r="M102" s="264">
        <v>34543</v>
      </c>
      <c r="N102" s="294"/>
      <c r="O102" s="264">
        <f t="shared" si="39"/>
        <v>0</v>
      </c>
      <c r="P102" s="262"/>
      <c r="Q102" s="266"/>
      <c r="R102" s="266"/>
      <c r="S102" s="266"/>
      <c r="T102" s="430">
        <f t="shared" si="50"/>
        <v>-500000</v>
      </c>
      <c r="U102" s="430">
        <f t="shared" si="34"/>
        <v>0</v>
      </c>
      <c r="V102" s="430"/>
      <c r="W102" s="266"/>
      <c r="X102" s="266"/>
      <c r="Y102" s="503">
        <f t="shared" si="43"/>
        <v>0</v>
      </c>
      <c r="Z102" s="497">
        <f t="shared" si="40"/>
        <v>0</v>
      </c>
      <c r="AA102" s="503">
        <v>20075</v>
      </c>
      <c r="AB102" s="503"/>
      <c r="AC102" s="431"/>
    </row>
    <row r="103" spans="1:29">
      <c r="A103" s="389">
        <v>88</v>
      </c>
      <c r="B103" s="287" t="s">
        <v>950</v>
      </c>
      <c r="C103" s="262"/>
      <c r="D103" s="428">
        <v>0</v>
      </c>
      <c r="E103" s="428">
        <v>0</v>
      </c>
      <c r="F103" s="269">
        <f>SUM(K103,N103,Q103,)</f>
        <v>0</v>
      </c>
      <c r="G103" s="266">
        <f t="shared" si="49"/>
        <v>0</v>
      </c>
      <c r="H103" s="266">
        <f t="shared" si="49"/>
        <v>0</v>
      </c>
      <c r="I103" s="429" t="e">
        <f t="shared" si="36"/>
        <v>#DIV/0!</v>
      </c>
      <c r="J103" s="264">
        <f t="shared" si="37"/>
        <v>0</v>
      </c>
      <c r="K103" s="264"/>
      <c r="L103" s="264">
        <f t="shared" si="38"/>
        <v>0</v>
      </c>
      <c r="M103" s="264"/>
      <c r="N103" s="294"/>
      <c r="O103" s="264">
        <f t="shared" si="39"/>
        <v>0</v>
      </c>
      <c r="P103" s="262"/>
      <c r="Q103" s="266"/>
      <c r="R103" s="266"/>
      <c r="S103" s="266"/>
      <c r="T103" s="430">
        <f t="shared" si="50"/>
        <v>0</v>
      </c>
      <c r="U103" s="430">
        <f t="shared" si="34"/>
        <v>0</v>
      </c>
      <c r="V103" s="430"/>
      <c r="W103" s="266"/>
      <c r="X103" s="266"/>
      <c r="Y103" s="503">
        <f t="shared" si="43"/>
        <v>0</v>
      </c>
      <c r="Z103" s="497">
        <f t="shared" si="40"/>
        <v>0</v>
      </c>
      <c r="AA103" s="503">
        <v>22039</v>
      </c>
      <c r="AB103" s="503"/>
      <c r="AC103" s="431"/>
    </row>
    <row r="104" spans="1:29">
      <c r="A104" s="389">
        <v>91</v>
      </c>
      <c r="B104" s="309" t="s">
        <v>121</v>
      </c>
      <c r="C104" s="308" t="s">
        <v>122</v>
      </c>
      <c r="D104" s="516">
        <v>0</v>
      </c>
      <c r="E104" s="516">
        <v>0</v>
      </c>
      <c r="F104" s="441">
        <f>SUM(K104,N104,Q104,)</f>
        <v>0</v>
      </c>
      <c r="G104" s="439">
        <f t="shared" si="49"/>
        <v>0</v>
      </c>
      <c r="H104" s="439">
        <f t="shared" si="49"/>
        <v>0</v>
      </c>
      <c r="I104" s="438" t="e">
        <f t="shared" si="36"/>
        <v>#DIV/0!</v>
      </c>
      <c r="J104" s="310">
        <f t="shared" si="37"/>
        <v>0</v>
      </c>
      <c r="K104" s="310"/>
      <c r="L104" s="310">
        <f t="shared" si="38"/>
        <v>0</v>
      </c>
      <c r="M104" s="310"/>
      <c r="N104" s="517"/>
      <c r="O104" s="310">
        <f t="shared" si="39"/>
        <v>0</v>
      </c>
      <c r="P104" s="308"/>
      <c r="Q104" s="439"/>
      <c r="R104" s="439"/>
      <c r="S104" s="439"/>
      <c r="T104" s="434">
        <f t="shared" si="50"/>
        <v>0</v>
      </c>
      <c r="U104" s="434">
        <f t="shared" si="34"/>
        <v>0</v>
      </c>
      <c r="V104" s="434"/>
      <c r="W104" s="439"/>
      <c r="X104" s="439"/>
      <c r="Y104" s="496">
        <f t="shared" si="43"/>
        <v>0</v>
      </c>
      <c r="Z104" s="498">
        <f t="shared" si="40"/>
        <v>0</v>
      </c>
      <c r="AA104" s="496">
        <v>0</v>
      </c>
      <c r="AB104" s="496">
        <f t="shared" si="41"/>
        <v>0</v>
      </c>
      <c r="AC104" s="431"/>
    </row>
    <row r="105" spans="1:29" ht="29.25">
      <c r="A105" s="389">
        <v>92</v>
      </c>
      <c r="B105" s="309" t="s">
        <v>123</v>
      </c>
      <c r="C105" s="308" t="s">
        <v>124</v>
      </c>
      <c r="D105" s="516">
        <v>0</v>
      </c>
      <c r="E105" s="516">
        <v>0</v>
      </c>
      <c r="F105" s="441">
        <f>SUM(K105,N105,Q105,)</f>
        <v>0</v>
      </c>
      <c r="G105" s="439">
        <f t="shared" ref="G105:H106" si="52">SUM(L105,O105,R105,)</f>
        <v>0</v>
      </c>
      <c r="H105" s="439">
        <f t="shared" si="52"/>
        <v>0</v>
      </c>
      <c r="I105" s="438" t="e">
        <f t="shared" si="36"/>
        <v>#DIV/0!</v>
      </c>
      <c r="J105" s="310">
        <f t="shared" si="37"/>
        <v>0</v>
      </c>
      <c r="K105" s="310"/>
      <c r="L105" s="310">
        <f t="shared" si="38"/>
        <v>0</v>
      </c>
      <c r="M105" s="310"/>
      <c r="N105" s="517"/>
      <c r="O105" s="310">
        <f t="shared" si="39"/>
        <v>0</v>
      </c>
      <c r="P105" s="308"/>
      <c r="Q105" s="439"/>
      <c r="R105" s="439"/>
      <c r="S105" s="439"/>
      <c r="T105" s="434">
        <f t="shared" si="50"/>
        <v>0</v>
      </c>
      <c r="U105" s="434">
        <f t="shared" si="34"/>
        <v>0</v>
      </c>
      <c r="V105" s="434"/>
      <c r="W105" s="439"/>
      <c r="X105" s="439"/>
      <c r="Y105" s="496">
        <f t="shared" si="43"/>
        <v>0</v>
      </c>
      <c r="Z105" s="498">
        <f t="shared" si="40"/>
        <v>0</v>
      </c>
      <c r="AA105" s="496">
        <v>0</v>
      </c>
      <c r="AB105" s="496">
        <f t="shared" si="41"/>
        <v>0</v>
      </c>
      <c r="AC105" s="431"/>
    </row>
    <row r="106" spans="1:29" ht="29.25">
      <c r="A106" s="389">
        <v>93</v>
      </c>
      <c r="B106" s="309" t="s">
        <v>125</v>
      </c>
      <c r="C106" s="308" t="s">
        <v>126</v>
      </c>
      <c r="D106" s="516">
        <v>74000</v>
      </c>
      <c r="E106" s="516">
        <v>74000</v>
      </c>
      <c r="F106" s="441">
        <f>F102*0.27</f>
        <v>135000</v>
      </c>
      <c r="G106" s="439">
        <f t="shared" si="52"/>
        <v>135000</v>
      </c>
      <c r="H106" s="439">
        <f t="shared" si="52"/>
        <v>9326</v>
      </c>
      <c r="I106" s="438">
        <f t="shared" si="36"/>
        <v>6.908148148148148E-2</v>
      </c>
      <c r="J106" s="310">
        <f t="shared" si="37"/>
        <v>125674</v>
      </c>
      <c r="K106" s="310">
        <v>135000</v>
      </c>
      <c r="L106" s="310">
        <f t="shared" si="38"/>
        <v>135000</v>
      </c>
      <c r="M106" s="310">
        <v>9326</v>
      </c>
      <c r="N106" s="517"/>
      <c r="O106" s="310">
        <f t="shared" si="39"/>
        <v>0</v>
      </c>
      <c r="P106" s="308"/>
      <c r="Q106" s="439"/>
      <c r="R106" s="439"/>
      <c r="S106" s="439"/>
      <c r="T106" s="434">
        <f t="shared" si="50"/>
        <v>0</v>
      </c>
      <c r="U106" s="434">
        <f t="shared" si="34"/>
        <v>135000</v>
      </c>
      <c r="V106" s="435">
        <v>135000</v>
      </c>
      <c r="W106" s="439">
        <v>4250</v>
      </c>
      <c r="X106" s="439">
        <v>8689</v>
      </c>
      <c r="Y106" s="496">
        <f>Y101*0.27</f>
        <v>810000</v>
      </c>
      <c r="Z106" s="498">
        <f t="shared" si="40"/>
        <v>810000</v>
      </c>
      <c r="AA106" s="496">
        <v>29647</v>
      </c>
      <c r="AB106" s="496">
        <f t="shared" si="41"/>
        <v>780353</v>
      </c>
      <c r="AC106" s="432">
        <f t="shared" si="44"/>
        <v>3.6601234567901235</v>
      </c>
    </row>
    <row r="107" spans="1:29" s="395" customFormat="1" ht="24" thickBot="1">
      <c r="A107" s="394">
        <v>94</v>
      </c>
      <c r="B107" s="448" t="s">
        <v>127</v>
      </c>
      <c r="C107" s="449" t="s">
        <v>128</v>
      </c>
      <c r="D107" s="450">
        <v>347000</v>
      </c>
      <c r="E107" s="450">
        <v>347000</v>
      </c>
      <c r="F107" s="451">
        <f t="shared" ref="F107:T107" si="53">SUM(F101,F106)</f>
        <v>635000</v>
      </c>
      <c r="G107" s="451">
        <f t="shared" si="53"/>
        <v>635000</v>
      </c>
      <c r="H107" s="451">
        <f t="shared" si="53"/>
        <v>43869</v>
      </c>
      <c r="I107" s="451">
        <f t="shared" si="53"/>
        <v>0.13816748148148147</v>
      </c>
      <c r="J107" s="451">
        <f t="shared" si="53"/>
        <v>591131</v>
      </c>
      <c r="K107" s="451">
        <f t="shared" si="53"/>
        <v>635000</v>
      </c>
      <c r="L107" s="451">
        <f t="shared" si="53"/>
        <v>635000</v>
      </c>
      <c r="M107" s="451">
        <f t="shared" si="53"/>
        <v>43869</v>
      </c>
      <c r="N107" s="451">
        <f t="shared" si="53"/>
        <v>0</v>
      </c>
      <c r="O107" s="451">
        <f t="shared" si="53"/>
        <v>0</v>
      </c>
      <c r="P107" s="451">
        <f t="shared" si="53"/>
        <v>0</v>
      </c>
      <c r="Q107" s="451">
        <f t="shared" si="53"/>
        <v>0</v>
      </c>
      <c r="R107" s="451">
        <f t="shared" si="53"/>
        <v>0</v>
      </c>
      <c r="S107" s="451">
        <f t="shared" si="53"/>
        <v>0</v>
      </c>
      <c r="T107" s="451">
        <f t="shared" si="53"/>
        <v>0</v>
      </c>
      <c r="U107" s="451">
        <f t="shared" si="34"/>
        <v>635000</v>
      </c>
      <c r="V107" s="451">
        <f>SUM(V101,V106)</f>
        <v>635000</v>
      </c>
      <c r="W107" s="451">
        <f>SUM(W101,W106)</f>
        <v>19989</v>
      </c>
      <c r="X107" s="451">
        <f>SUM(X101,X106)</f>
        <v>40868</v>
      </c>
      <c r="Y107" s="507">
        <f>SUM(Y101,Y106,Y97,Y96,Y95,Y104,Y105)</f>
        <v>3810000</v>
      </c>
      <c r="Z107" s="518">
        <f t="shared" ref="Z107:AA107" si="54">SUM(Z101,Z106,Z97,Z96,Z95,Z104,Z105)</f>
        <v>4278899</v>
      </c>
      <c r="AA107" s="507">
        <f t="shared" si="54"/>
        <v>139450</v>
      </c>
      <c r="AB107" s="507">
        <f>SUM(AB101,AB106,AB97,AB96,AB95,AB104,AB105)</f>
        <v>4139449</v>
      </c>
      <c r="AC107" s="530">
        <f t="shared" si="44"/>
        <v>3.2590159290976488</v>
      </c>
    </row>
    <row r="108" spans="1:29" ht="15.75" hidden="1" thickBot="1">
      <c r="A108" s="389">
        <v>95</v>
      </c>
      <c r="B108" s="263" t="s">
        <v>129</v>
      </c>
      <c r="C108" s="262" t="s">
        <v>130</v>
      </c>
      <c r="D108" s="428">
        <v>0</v>
      </c>
      <c r="E108" s="428">
        <v>0</v>
      </c>
      <c r="F108" s="269" t="e">
        <f>SUM(K108,N108,Q108,)</f>
        <v>#REF!</v>
      </c>
      <c r="G108" s="269" t="e">
        <f t="shared" ref="G108:H112" si="55">SUM(L108,O108,R108,)</f>
        <v>#REF!</v>
      </c>
      <c r="H108" s="269" t="e">
        <f t="shared" si="55"/>
        <v>#REF!</v>
      </c>
      <c r="I108" s="269" t="e">
        <f>SUM(N108,Q108,T108,)</f>
        <v>#REF!</v>
      </c>
      <c r="J108" s="269" t="e">
        <f t="shared" ref="J108:K112" si="56">SUM(O108,R108,V108,)</f>
        <v>#REF!</v>
      </c>
      <c r="K108" s="269" t="e">
        <f t="shared" si="56"/>
        <v>#REF!</v>
      </c>
      <c r="L108" s="269" t="e">
        <f>SUM(Q108,T108,Y108,)</f>
        <v>#REF!</v>
      </c>
      <c r="M108" s="269" t="e">
        <f>SUM(R108,V108,#REF!,)</f>
        <v>#REF!</v>
      </c>
      <c r="N108" s="269" t="e">
        <f>SUM(S108,W108,#REF!,)</f>
        <v>#REF!</v>
      </c>
      <c r="O108" s="269" t="e">
        <f>SUM(T108,Y108,#REF!,)</f>
        <v>#REF!</v>
      </c>
      <c r="P108" s="269" t="e">
        <f>SUM(V108,#REF!,Z108,)</f>
        <v>#REF!</v>
      </c>
      <c r="Q108" s="269" t="e">
        <f>SUM(W108,#REF!,AA108,)</f>
        <v>#REF!</v>
      </c>
      <c r="R108" s="269" t="e">
        <f>SUM(Y108,#REF!,AB108,)</f>
        <v>#REF!</v>
      </c>
      <c r="S108" s="269" t="e">
        <f>SUM(#REF!,Z108,AC108,)</f>
        <v>#REF!</v>
      </c>
      <c r="T108" s="269" t="e">
        <f>SUM(#REF!,AA108,AD108,)</f>
        <v>#REF!</v>
      </c>
      <c r="U108" s="269" t="e">
        <f t="shared" si="34"/>
        <v>#REF!</v>
      </c>
      <c r="V108" s="269" t="e">
        <f>SUM(#REF!,AB108,AE108,)</f>
        <v>#REF!</v>
      </c>
      <c r="W108" s="266"/>
      <c r="X108" s="266"/>
      <c r="Y108" s="508"/>
      <c r="Z108" s="497">
        <f t="shared" si="40"/>
        <v>0</v>
      </c>
      <c r="AA108" s="508"/>
      <c r="AB108" s="503">
        <f t="shared" si="41"/>
        <v>0</v>
      </c>
      <c r="AC108" s="432" t="e">
        <f t="shared" si="44"/>
        <v>#DIV/0!</v>
      </c>
    </row>
    <row r="109" spans="1:29" ht="15.75" hidden="1" thickBot="1">
      <c r="A109" s="389">
        <v>96</v>
      </c>
      <c r="B109" s="263" t="s">
        <v>131</v>
      </c>
      <c r="C109" s="262" t="s">
        <v>132</v>
      </c>
      <c r="D109" s="428">
        <v>0</v>
      </c>
      <c r="E109" s="428">
        <v>0</v>
      </c>
      <c r="F109" s="269" t="e">
        <f>SUM(K109,N109,Q109,)</f>
        <v>#REF!</v>
      </c>
      <c r="G109" s="269" t="e">
        <f t="shared" si="55"/>
        <v>#REF!</v>
      </c>
      <c r="H109" s="269" t="e">
        <f t="shared" si="55"/>
        <v>#REF!</v>
      </c>
      <c r="I109" s="269" t="e">
        <f>SUM(N109,Q109,T109,)</f>
        <v>#REF!</v>
      </c>
      <c r="J109" s="269" t="e">
        <f t="shared" si="56"/>
        <v>#REF!</v>
      </c>
      <c r="K109" s="269" t="e">
        <f t="shared" si="56"/>
        <v>#REF!</v>
      </c>
      <c r="L109" s="269" t="e">
        <f>SUM(Q109,T109,Y109,)</f>
        <v>#REF!</v>
      </c>
      <c r="M109" s="269" t="e">
        <f>SUM(R109,V109,#REF!,)</f>
        <v>#REF!</v>
      </c>
      <c r="N109" s="269" t="e">
        <f>SUM(S109,W109,#REF!,)</f>
        <v>#REF!</v>
      </c>
      <c r="O109" s="269" t="e">
        <f>SUM(T109,Y109,#REF!,)</f>
        <v>#REF!</v>
      </c>
      <c r="P109" s="269" t="e">
        <f>SUM(V109,#REF!,Z109,)</f>
        <v>#REF!</v>
      </c>
      <c r="Q109" s="269" t="e">
        <f>SUM(W109,#REF!,AA109,)</f>
        <v>#REF!</v>
      </c>
      <c r="R109" s="269" t="e">
        <f>SUM(Y109,#REF!,AB109,)</f>
        <v>#REF!</v>
      </c>
      <c r="S109" s="269" t="e">
        <f>SUM(#REF!,Z109,AC109,)</f>
        <v>#REF!</v>
      </c>
      <c r="T109" s="269" t="e">
        <f>SUM(#REF!,AA109,AD109,)</f>
        <v>#REF!</v>
      </c>
      <c r="U109" s="269" t="e">
        <f t="shared" si="34"/>
        <v>#REF!</v>
      </c>
      <c r="V109" s="269" t="e">
        <f>SUM(#REF!,AB109,AE109,)</f>
        <v>#REF!</v>
      </c>
      <c r="W109" s="266"/>
      <c r="X109" s="266"/>
      <c r="Y109" s="508"/>
      <c r="Z109" s="497">
        <f t="shared" si="40"/>
        <v>0</v>
      </c>
      <c r="AA109" s="508"/>
      <c r="AB109" s="503">
        <f t="shared" si="41"/>
        <v>0</v>
      </c>
      <c r="AC109" s="432" t="e">
        <f t="shared" si="44"/>
        <v>#DIV/0!</v>
      </c>
    </row>
    <row r="110" spans="1:29" ht="15.75" hidden="1" thickBot="1">
      <c r="A110" s="389">
        <v>97</v>
      </c>
      <c r="B110" s="263" t="s">
        <v>133</v>
      </c>
      <c r="C110" s="262" t="s">
        <v>134</v>
      </c>
      <c r="D110" s="428">
        <v>0</v>
      </c>
      <c r="E110" s="428">
        <v>0</v>
      </c>
      <c r="F110" s="269" t="e">
        <f>SUM(K110,N110,Q110,)</f>
        <v>#REF!</v>
      </c>
      <c r="G110" s="269" t="e">
        <f t="shared" si="55"/>
        <v>#REF!</v>
      </c>
      <c r="H110" s="269" t="e">
        <f t="shared" si="55"/>
        <v>#REF!</v>
      </c>
      <c r="I110" s="269" t="e">
        <f>SUM(N110,Q110,T110,)</f>
        <v>#REF!</v>
      </c>
      <c r="J110" s="269" t="e">
        <f t="shared" si="56"/>
        <v>#REF!</v>
      </c>
      <c r="K110" s="269" t="e">
        <f t="shared" si="56"/>
        <v>#REF!</v>
      </c>
      <c r="L110" s="269" t="e">
        <f>SUM(Q110,T110,Y110,)</f>
        <v>#REF!</v>
      </c>
      <c r="M110" s="269" t="e">
        <f>SUM(R110,V110,#REF!,)</f>
        <v>#REF!</v>
      </c>
      <c r="N110" s="269" t="e">
        <f>SUM(S110,W110,#REF!,)</f>
        <v>#REF!</v>
      </c>
      <c r="O110" s="269" t="e">
        <f>SUM(T110,Y110,#REF!,)</f>
        <v>#REF!</v>
      </c>
      <c r="P110" s="269" t="e">
        <f>SUM(V110,#REF!,Z110,)</f>
        <v>#REF!</v>
      </c>
      <c r="Q110" s="269" t="e">
        <f>SUM(W110,#REF!,AA110,)</f>
        <v>#REF!</v>
      </c>
      <c r="R110" s="269" t="e">
        <f>SUM(Y110,#REF!,AB110,)</f>
        <v>#REF!</v>
      </c>
      <c r="S110" s="269" t="e">
        <f>SUM(#REF!,Z110,AC110,)</f>
        <v>#REF!</v>
      </c>
      <c r="T110" s="269" t="e">
        <f>SUM(#REF!,AA110,AD110,)</f>
        <v>#REF!</v>
      </c>
      <c r="U110" s="269" t="e">
        <f t="shared" si="34"/>
        <v>#REF!</v>
      </c>
      <c r="V110" s="269" t="e">
        <f>SUM(#REF!,AB110,AE110,)</f>
        <v>#REF!</v>
      </c>
      <c r="W110" s="266"/>
      <c r="X110" s="266"/>
      <c r="Y110" s="508"/>
      <c r="Z110" s="497">
        <f t="shared" si="40"/>
        <v>0</v>
      </c>
      <c r="AA110" s="508"/>
      <c r="AB110" s="503">
        <f t="shared" si="41"/>
        <v>0</v>
      </c>
      <c r="AC110" s="432" t="e">
        <f t="shared" si="44"/>
        <v>#DIV/0!</v>
      </c>
    </row>
    <row r="111" spans="1:29" ht="30.75" hidden="1" thickBot="1">
      <c r="A111" s="389">
        <v>98</v>
      </c>
      <c r="B111" s="263" t="s">
        <v>135</v>
      </c>
      <c r="C111" s="262" t="s">
        <v>136</v>
      </c>
      <c r="D111" s="428">
        <v>0</v>
      </c>
      <c r="E111" s="428">
        <v>0</v>
      </c>
      <c r="F111" s="269" t="e">
        <f>SUM(K111,N111,Q111,)</f>
        <v>#REF!</v>
      </c>
      <c r="G111" s="269" t="e">
        <f t="shared" si="55"/>
        <v>#REF!</v>
      </c>
      <c r="H111" s="269" t="e">
        <f t="shared" si="55"/>
        <v>#REF!</v>
      </c>
      <c r="I111" s="269" t="e">
        <f>SUM(N111,Q111,T111,)</f>
        <v>#REF!</v>
      </c>
      <c r="J111" s="269" t="e">
        <f t="shared" si="56"/>
        <v>#REF!</v>
      </c>
      <c r="K111" s="269" t="e">
        <f t="shared" si="56"/>
        <v>#REF!</v>
      </c>
      <c r="L111" s="269" t="e">
        <f>SUM(Q111,T111,Y111,)</f>
        <v>#REF!</v>
      </c>
      <c r="M111" s="269" t="e">
        <f>SUM(R111,V111,#REF!,)</f>
        <v>#REF!</v>
      </c>
      <c r="N111" s="269" t="e">
        <f>SUM(S111,W111,#REF!,)</f>
        <v>#REF!</v>
      </c>
      <c r="O111" s="269" t="e">
        <f>SUM(T111,Y111,#REF!,)</f>
        <v>#REF!</v>
      </c>
      <c r="P111" s="269" t="e">
        <f>SUM(V111,#REF!,Z111,)</f>
        <v>#REF!</v>
      </c>
      <c r="Q111" s="269" t="e">
        <f>SUM(W111,#REF!,AA111,)</f>
        <v>#REF!</v>
      </c>
      <c r="R111" s="269" t="e">
        <f>SUM(Y111,#REF!,AB111,)</f>
        <v>#REF!</v>
      </c>
      <c r="S111" s="269" t="e">
        <f>SUM(#REF!,Z111,AC111,)</f>
        <v>#REF!</v>
      </c>
      <c r="T111" s="269" t="e">
        <f>SUM(#REF!,AA111,AD111,)</f>
        <v>#REF!</v>
      </c>
      <c r="U111" s="269" t="e">
        <f t="shared" si="34"/>
        <v>#REF!</v>
      </c>
      <c r="V111" s="269" t="e">
        <f>SUM(#REF!,AB111,AE111,)</f>
        <v>#REF!</v>
      </c>
      <c r="W111" s="266"/>
      <c r="X111" s="266"/>
      <c r="Y111" s="508"/>
      <c r="Z111" s="497">
        <f t="shared" si="40"/>
        <v>0</v>
      </c>
      <c r="AA111" s="508"/>
      <c r="AB111" s="503">
        <f t="shared" si="41"/>
        <v>0</v>
      </c>
      <c r="AC111" s="432" t="e">
        <f t="shared" si="44"/>
        <v>#DIV/0!</v>
      </c>
    </row>
    <row r="112" spans="1:29" ht="15.75" hidden="1" thickBot="1">
      <c r="A112" s="396">
        <v>99</v>
      </c>
      <c r="B112" s="452" t="s">
        <v>137</v>
      </c>
      <c r="C112" s="453" t="s">
        <v>138</v>
      </c>
      <c r="D112" s="454">
        <v>0</v>
      </c>
      <c r="E112" s="454">
        <v>0</v>
      </c>
      <c r="F112" s="455" t="e">
        <f>SUM(K112,N112,Q112,)</f>
        <v>#REF!</v>
      </c>
      <c r="G112" s="455" t="e">
        <f t="shared" si="55"/>
        <v>#REF!</v>
      </c>
      <c r="H112" s="455" t="e">
        <f t="shared" si="55"/>
        <v>#REF!</v>
      </c>
      <c r="I112" s="455" t="e">
        <f>SUM(N112,Q112,T112,)</f>
        <v>#REF!</v>
      </c>
      <c r="J112" s="455" t="e">
        <f t="shared" si="56"/>
        <v>#REF!</v>
      </c>
      <c r="K112" s="455" t="e">
        <f t="shared" si="56"/>
        <v>#REF!</v>
      </c>
      <c r="L112" s="455" t="e">
        <f>SUM(Q112,T112,Y112,)</f>
        <v>#REF!</v>
      </c>
      <c r="M112" s="455" t="e">
        <f>SUM(R112,V112,#REF!,)</f>
        <v>#REF!</v>
      </c>
      <c r="N112" s="455" t="e">
        <f>SUM(S112,W112,#REF!,)</f>
        <v>#REF!</v>
      </c>
      <c r="O112" s="455" t="e">
        <f>SUM(T112,Y112,#REF!,)</f>
        <v>#REF!</v>
      </c>
      <c r="P112" s="455" t="e">
        <f>SUM(V112,#REF!,Z112,)</f>
        <v>#REF!</v>
      </c>
      <c r="Q112" s="455" t="e">
        <f>SUM(W112,#REF!,AA112,)</f>
        <v>#REF!</v>
      </c>
      <c r="R112" s="455" t="e">
        <f>SUM(Y112,#REF!,AB112,)</f>
        <v>#REF!</v>
      </c>
      <c r="S112" s="455" t="e">
        <f>SUM(#REF!,Z112,AC112,)</f>
        <v>#REF!</v>
      </c>
      <c r="T112" s="455" t="e">
        <f>SUM(#REF!,AA112,AD112,)</f>
        <v>#REF!</v>
      </c>
      <c r="U112" s="455" t="e">
        <f t="shared" si="34"/>
        <v>#REF!</v>
      </c>
      <c r="V112" s="455" t="e">
        <f>SUM(#REF!,AB112,AE112,)</f>
        <v>#REF!</v>
      </c>
      <c r="W112" s="456"/>
      <c r="X112" s="456"/>
      <c r="Y112" s="509"/>
      <c r="Z112" s="497">
        <f t="shared" si="40"/>
        <v>0</v>
      </c>
      <c r="AA112" s="509"/>
      <c r="AB112" s="503">
        <f t="shared" si="41"/>
        <v>0</v>
      </c>
      <c r="AC112" s="457" t="e">
        <f t="shared" si="44"/>
        <v>#DIV/0!</v>
      </c>
    </row>
    <row r="113" spans="1:30" ht="46.5" thickBot="1">
      <c r="A113" s="397">
        <v>100</v>
      </c>
      <c r="B113" s="458" t="s">
        <v>139</v>
      </c>
      <c r="C113" s="459" t="s">
        <v>140</v>
      </c>
      <c r="D113" s="460">
        <v>33861516.799999997</v>
      </c>
      <c r="E113" s="460">
        <v>34914115.799999997</v>
      </c>
      <c r="F113" s="460">
        <f t="shared" ref="F113:T113" si="57">SUM(F107,F94,F26,F25)</f>
        <v>38803858.120000005</v>
      </c>
      <c r="G113" s="460">
        <f t="shared" si="57"/>
        <v>36284555.799999997</v>
      </c>
      <c r="H113" s="460">
        <f t="shared" si="57"/>
        <v>22906102</v>
      </c>
      <c r="I113" s="460" t="e">
        <f t="shared" si="57"/>
        <v>#DIV/0!</v>
      </c>
      <c r="J113" s="460">
        <f t="shared" si="57"/>
        <v>13378453.800000001</v>
      </c>
      <c r="K113" s="460">
        <f t="shared" si="57"/>
        <v>34353128</v>
      </c>
      <c r="L113" s="460">
        <f t="shared" si="57"/>
        <v>31131593.800000001</v>
      </c>
      <c r="M113" s="460">
        <f t="shared" si="57"/>
        <v>19655491</v>
      </c>
      <c r="N113" s="460">
        <f t="shared" si="57"/>
        <v>4440980</v>
      </c>
      <c r="O113" s="460">
        <f t="shared" si="57"/>
        <v>4239324</v>
      </c>
      <c r="P113" s="460">
        <f t="shared" si="57"/>
        <v>2650444</v>
      </c>
      <c r="Q113" s="460">
        <f t="shared" si="57"/>
        <v>0</v>
      </c>
      <c r="R113" s="460">
        <f t="shared" si="57"/>
        <v>913638</v>
      </c>
      <c r="S113" s="460">
        <f t="shared" si="57"/>
        <v>600167</v>
      </c>
      <c r="T113" s="460">
        <f t="shared" si="57"/>
        <v>2708240</v>
      </c>
      <c r="U113" s="460">
        <f t="shared" si="34"/>
        <v>41512098.120000005</v>
      </c>
      <c r="V113" s="460">
        <f t="shared" ref="V113:AA113" si="58">SUM(V107,V94,V26,V25)</f>
        <v>38853858</v>
      </c>
      <c r="W113" s="461">
        <f t="shared" si="58"/>
        <v>30793473</v>
      </c>
      <c r="X113" s="461">
        <f t="shared" si="58"/>
        <v>36465323</v>
      </c>
      <c r="Y113" s="510">
        <f t="shared" si="58"/>
        <v>51407649</v>
      </c>
      <c r="Z113" s="510">
        <f t="shared" si="58"/>
        <v>53208318</v>
      </c>
      <c r="AA113" s="510">
        <f t="shared" si="58"/>
        <v>23020130</v>
      </c>
      <c r="AB113" s="510">
        <f t="shared" si="41"/>
        <v>30188188</v>
      </c>
      <c r="AC113" s="462">
        <f t="shared" si="44"/>
        <v>43.264156555371663</v>
      </c>
    </row>
    <row r="114" spans="1:30" ht="21">
      <c r="A114" s="1466" t="s">
        <v>141</v>
      </c>
      <c r="B114" s="1467"/>
      <c r="C114" s="1467"/>
      <c r="D114" s="1467"/>
      <c r="E114" s="1467"/>
      <c r="F114" s="1467"/>
      <c r="G114" s="1467"/>
      <c r="H114" s="1467"/>
      <c r="I114" s="1467"/>
      <c r="J114" s="1467"/>
      <c r="K114" s="1467"/>
      <c r="L114" s="1467"/>
      <c r="M114" s="1467"/>
      <c r="N114" s="1467"/>
      <c r="O114" s="1467"/>
      <c r="P114" s="1467"/>
      <c r="Q114" s="1467"/>
      <c r="R114" s="1467"/>
      <c r="S114" s="1467"/>
      <c r="T114" s="430">
        <f>V114-F114</f>
        <v>0</v>
      </c>
      <c r="U114" s="430">
        <f t="shared" si="34"/>
        <v>0</v>
      </c>
      <c r="V114" s="425"/>
      <c r="W114" s="424"/>
      <c r="X114" s="424"/>
      <c r="Y114" s="503">
        <f t="shared" si="43"/>
        <v>0</v>
      </c>
      <c r="Z114" s="497">
        <f t="shared" si="40"/>
        <v>0</v>
      </c>
      <c r="AA114" s="503"/>
      <c r="AB114" s="503">
        <f t="shared" si="41"/>
        <v>0</v>
      </c>
      <c r="AC114" s="463"/>
    </row>
    <row r="115" spans="1:30" ht="21">
      <c r="A115" s="398"/>
      <c r="B115" s="464" t="s">
        <v>821</v>
      </c>
      <c r="C115" s="465" t="s">
        <v>220</v>
      </c>
      <c r="D115" s="466">
        <v>0</v>
      </c>
      <c r="E115" s="466">
        <v>913638</v>
      </c>
      <c r="F115" s="280">
        <f>SUM(K115,N115,Q115)</f>
        <v>0</v>
      </c>
      <c r="G115" s="264">
        <f>SUM(L115,O115,R115)</f>
        <v>913638</v>
      </c>
      <c r="H115" s="264">
        <f>SUM(M115,P115,S115)</f>
        <v>913638</v>
      </c>
      <c r="I115" s="467">
        <f>H115/G115</f>
        <v>1</v>
      </c>
      <c r="J115" s="465"/>
      <c r="K115" s="264"/>
      <c r="L115" s="264"/>
      <c r="M115" s="264"/>
      <c r="N115" s="294"/>
      <c r="O115" s="430"/>
      <c r="P115" s="262"/>
      <c r="Q115" s="266"/>
      <c r="R115" s="266">
        <v>913638</v>
      </c>
      <c r="S115" s="266">
        <v>913638</v>
      </c>
      <c r="T115" s="430">
        <v>2175232</v>
      </c>
      <c r="U115" s="430">
        <f t="shared" si="34"/>
        <v>2175232</v>
      </c>
      <c r="V115" s="430"/>
      <c r="W115" s="428">
        <v>2010732</v>
      </c>
      <c r="X115" s="428"/>
      <c r="Y115" s="503">
        <v>0</v>
      </c>
      <c r="Z115" s="497">
        <v>845033</v>
      </c>
      <c r="AA115" s="503">
        <v>2806675</v>
      </c>
      <c r="AB115" s="503">
        <f t="shared" si="41"/>
        <v>-1961642</v>
      </c>
      <c r="AC115" s="431"/>
    </row>
    <row r="116" spans="1:30" s="400" customFormat="1" ht="20.25">
      <c r="A116" s="399">
        <v>101</v>
      </c>
      <c r="B116" s="468" t="s">
        <v>142</v>
      </c>
      <c r="C116" s="468" t="s">
        <v>353</v>
      </c>
      <c r="D116" s="469">
        <v>60000</v>
      </c>
      <c r="E116" s="469">
        <v>60000</v>
      </c>
      <c r="F116" s="280"/>
      <c r="G116" s="264">
        <f t="shared" ref="G116:H117" si="59">SUM(L116,O116,R116)</f>
        <v>0</v>
      </c>
      <c r="H116" s="264">
        <f t="shared" si="59"/>
        <v>286421</v>
      </c>
      <c r="I116" s="467" t="e">
        <f t="shared" ref="I116:I117" si="60">H116/G116</f>
        <v>#DIV/0!</v>
      </c>
      <c r="J116" s="264"/>
      <c r="K116" s="470">
        <v>60000</v>
      </c>
      <c r="L116" s="470">
        <f>K116</f>
        <v>60000</v>
      </c>
      <c r="M116" s="470">
        <v>286421</v>
      </c>
      <c r="N116" s="471"/>
      <c r="O116" s="430">
        <f>F116-K116-N116</f>
        <v>-60000</v>
      </c>
      <c r="P116" s="472"/>
      <c r="Q116" s="473"/>
      <c r="R116" s="473"/>
      <c r="S116" s="473"/>
      <c r="T116" s="430">
        <v>0</v>
      </c>
      <c r="U116" s="430">
        <f t="shared" si="34"/>
        <v>0</v>
      </c>
      <c r="V116" s="430"/>
      <c r="W116" s="428">
        <f>60000+115084+49398+7874</f>
        <v>232356</v>
      </c>
      <c r="X116" s="428"/>
      <c r="Y116" s="503">
        <v>0</v>
      </c>
      <c r="Z116" s="497">
        <f t="shared" si="40"/>
        <v>0</v>
      </c>
      <c r="AA116" s="503">
        <v>114544</v>
      </c>
      <c r="AB116" s="503">
        <f t="shared" si="41"/>
        <v>-114544</v>
      </c>
      <c r="AC116" s="431"/>
    </row>
    <row r="117" spans="1:30" s="400" customFormat="1" ht="20.25">
      <c r="A117" s="399"/>
      <c r="B117" s="468" t="s">
        <v>144</v>
      </c>
      <c r="C117" s="468" t="s">
        <v>145</v>
      </c>
      <c r="D117" s="469">
        <v>0</v>
      </c>
      <c r="E117" s="469">
        <v>138961</v>
      </c>
      <c r="F117" s="280">
        <f>SUM(K117,N117,Q117)</f>
        <v>0</v>
      </c>
      <c r="G117" s="264">
        <f t="shared" si="59"/>
        <v>138961</v>
      </c>
      <c r="H117" s="264">
        <f t="shared" si="59"/>
        <v>138961</v>
      </c>
      <c r="I117" s="467">
        <f t="shared" si="60"/>
        <v>1</v>
      </c>
      <c r="J117" s="264"/>
      <c r="K117" s="470">
        <v>0</v>
      </c>
      <c r="L117" s="470">
        <v>138961</v>
      </c>
      <c r="M117" s="470">
        <v>138961</v>
      </c>
      <c r="N117" s="471"/>
      <c r="O117" s="430">
        <f>F117-K117-N117</f>
        <v>0</v>
      </c>
      <c r="P117" s="472"/>
      <c r="Q117" s="473"/>
      <c r="R117" s="473"/>
      <c r="S117" s="473"/>
      <c r="T117" s="430">
        <f>V117-F117</f>
        <v>0</v>
      </c>
      <c r="U117" s="430">
        <f t="shared" si="34"/>
        <v>0</v>
      </c>
      <c r="V117" s="430"/>
      <c r="W117" s="474"/>
      <c r="X117" s="474"/>
      <c r="Y117" s="503"/>
      <c r="Z117" s="497">
        <v>955636</v>
      </c>
      <c r="AA117" s="503">
        <v>955636</v>
      </c>
      <c r="AB117" s="503">
        <f t="shared" si="41"/>
        <v>0</v>
      </c>
      <c r="AC117" s="432">
        <f t="shared" si="44"/>
        <v>100</v>
      </c>
    </row>
    <row r="118" spans="1:30" s="277" customFormat="1">
      <c r="A118" s="401">
        <v>102</v>
      </c>
      <c r="B118" s="272" t="s">
        <v>146</v>
      </c>
      <c r="C118" s="271" t="s">
        <v>147</v>
      </c>
      <c r="D118" s="475">
        <v>33801517</v>
      </c>
      <c r="E118" s="475">
        <v>33801517</v>
      </c>
      <c r="F118" s="282">
        <f>SUM(F119:F120)</f>
        <v>38803858</v>
      </c>
      <c r="G118" s="282">
        <f t="shared" ref="G118:X118" si="61">SUM(G119:G120)</f>
        <v>0</v>
      </c>
      <c r="H118" s="282">
        <f t="shared" si="61"/>
        <v>0</v>
      </c>
      <c r="I118" s="282">
        <f t="shared" si="61"/>
        <v>0</v>
      </c>
      <c r="J118" s="282">
        <f t="shared" si="61"/>
        <v>0</v>
      </c>
      <c r="K118" s="282">
        <f t="shared" si="61"/>
        <v>0</v>
      </c>
      <c r="L118" s="282">
        <f t="shared" si="61"/>
        <v>0</v>
      </c>
      <c r="M118" s="282">
        <f t="shared" si="61"/>
        <v>0</v>
      </c>
      <c r="N118" s="282">
        <f t="shared" si="61"/>
        <v>0</v>
      </c>
      <c r="O118" s="282">
        <f t="shared" si="61"/>
        <v>0</v>
      </c>
      <c r="P118" s="282">
        <f t="shared" si="61"/>
        <v>0</v>
      </c>
      <c r="Q118" s="282">
        <f t="shared" si="61"/>
        <v>0</v>
      </c>
      <c r="R118" s="282">
        <f t="shared" si="61"/>
        <v>0</v>
      </c>
      <c r="S118" s="282">
        <f t="shared" si="61"/>
        <v>0</v>
      </c>
      <c r="T118" s="282">
        <f t="shared" si="61"/>
        <v>533008</v>
      </c>
      <c r="U118" s="282">
        <f t="shared" si="34"/>
        <v>39336866</v>
      </c>
      <c r="V118" s="282">
        <f t="shared" si="61"/>
        <v>38853858</v>
      </c>
      <c r="W118" s="282">
        <f t="shared" si="61"/>
        <v>30646828</v>
      </c>
      <c r="X118" s="282">
        <f t="shared" si="61"/>
        <v>0</v>
      </c>
      <c r="Y118" s="504">
        <f>SUM(Y119:Y120)</f>
        <v>51407649</v>
      </c>
      <c r="Z118" s="498">
        <f>SUM(Y118)</f>
        <v>51407649</v>
      </c>
      <c r="AA118" s="504">
        <v>22669775</v>
      </c>
      <c r="AB118" s="504">
        <f>Z118-AA118</f>
        <v>28737874</v>
      </c>
      <c r="AC118" s="436">
        <f t="shared" si="44"/>
        <v>44.09805824810234</v>
      </c>
      <c r="AD118" s="523"/>
    </row>
    <row r="119" spans="1:30" ht="20.25">
      <c r="A119" s="389"/>
      <c r="B119" s="279" t="s">
        <v>822</v>
      </c>
      <c r="C119" s="278"/>
      <c r="D119" s="476"/>
      <c r="E119" s="476"/>
      <c r="F119" s="280">
        <v>28029600</v>
      </c>
      <c r="G119" s="264"/>
      <c r="H119" s="264"/>
      <c r="I119" s="467"/>
      <c r="J119" s="264"/>
      <c r="K119" s="286"/>
      <c r="L119" s="470"/>
      <c r="M119" s="286"/>
      <c r="N119" s="286"/>
      <c r="O119" s="430"/>
      <c r="P119" s="430"/>
      <c r="Q119" s="266"/>
      <c r="R119" s="266"/>
      <c r="S119" s="266"/>
      <c r="T119" s="430">
        <f>V119-F119</f>
        <v>0</v>
      </c>
      <c r="U119" s="430">
        <f t="shared" si="34"/>
        <v>28029600</v>
      </c>
      <c r="V119" s="430">
        <v>28029600</v>
      </c>
      <c r="W119" s="266">
        <f>V119*0.83</f>
        <v>23264568</v>
      </c>
      <c r="X119" s="266"/>
      <c r="Y119" s="503">
        <v>34456785</v>
      </c>
      <c r="Z119" s="497">
        <f t="shared" si="40"/>
        <v>34456785</v>
      </c>
      <c r="AA119" s="503"/>
      <c r="AB119" s="503"/>
      <c r="AC119" s="432"/>
    </row>
    <row r="120" spans="1:30" ht="21" thickBot="1">
      <c r="A120" s="396"/>
      <c r="B120" s="477" t="s">
        <v>823</v>
      </c>
      <c r="C120" s="478"/>
      <c r="D120" s="479">
        <f t="shared" ref="D120:E120" si="62">D113-D118</f>
        <v>59999.79999999702</v>
      </c>
      <c r="E120" s="479">
        <f t="shared" si="62"/>
        <v>1112598.799999997</v>
      </c>
      <c r="F120" s="479">
        <v>10774258</v>
      </c>
      <c r="G120" s="480"/>
      <c r="H120" s="480"/>
      <c r="I120" s="481"/>
      <c r="J120" s="480"/>
      <c r="K120" s="482"/>
      <c r="L120" s="483"/>
      <c r="M120" s="482"/>
      <c r="N120" s="482"/>
      <c r="O120" s="484"/>
      <c r="P120" s="484"/>
      <c r="Q120" s="456"/>
      <c r="R120" s="456"/>
      <c r="S120" s="456"/>
      <c r="T120" s="430">
        <f>50000+788008-305000</f>
        <v>533008</v>
      </c>
      <c r="U120" s="430">
        <f t="shared" si="34"/>
        <v>11307266</v>
      </c>
      <c r="V120" s="484">
        <f>10774258+50000</f>
        <v>10824258</v>
      </c>
      <c r="W120" s="456">
        <v>7382260</v>
      </c>
      <c r="X120" s="456"/>
      <c r="Y120" s="503">
        <f>Y113-Y119-Y117</f>
        <v>16950864</v>
      </c>
      <c r="Z120" s="519">
        <f t="shared" si="40"/>
        <v>16950864</v>
      </c>
      <c r="AA120" s="503"/>
      <c r="AB120" s="503"/>
      <c r="AC120" s="457"/>
    </row>
    <row r="121" spans="1:30" s="277" customFormat="1" ht="22.5">
      <c r="A121" s="1424" t="s">
        <v>148</v>
      </c>
      <c r="B121" s="1425"/>
      <c r="C121" s="1426"/>
      <c r="D121" s="485">
        <v>33861517</v>
      </c>
      <c r="E121" s="485">
        <v>34914116</v>
      </c>
      <c r="F121" s="486">
        <f>SUM(F115:F118)</f>
        <v>38803858</v>
      </c>
      <c r="G121" s="486">
        <f t="shared" ref="G121:X121" si="63">SUM(G115:G118)</f>
        <v>1052599</v>
      </c>
      <c r="H121" s="486">
        <f t="shared" si="63"/>
        <v>1339020</v>
      </c>
      <c r="I121" s="486" t="e">
        <f t="shared" si="63"/>
        <v>#DIV/0!</v>
      </c>
      <c r="J121" s="486">
        <f t="shared" si="63"/>
        <v>0</v>
      </c>
      <c r="K121" s="486">
        <f t="shared" si="63"/>
        <v>60000</v>
      </c>
      <c r="L121" s="486">
        <f t="shared" si="63"/>
        <v>198961</v>
      </c>
      <c r="M121" s="486">
        <f t="shared" si="63"/>
        <v>425382</v>
      </c>
      <c r="N121" s="486">
        <f t="shared" si="63"/>
        <v>0</v>
      </c>
      <c r="O121" s="486">
        <f t="shared" si="63"/>
        <v>-60000</v>
      </c>
      <c r="P121" s="486">
        <f t="shared" si="63"/>
        <v>0</v>
      </c>
      <c r="Q121" s="486">
        <f t="shared" si="63"/>
        <v>0</v>
      </c>
      <c r="R121" s="486">
        <f t="shared" si="63"/>
        <v>913638</v>
      </c>
      <c r="S121" s="486">
        <f t="shared" si="63"/>
        <v>913638</v>
      </c>
      <c r="T121" s="486">
        <f t="shared" si="63"/>
        <v>2708240</v>
      </c>
      <c r="U121" s="486">
        <f t="shared" si="63"/>
        <v>41512098</v>
      </c>
      <c r="V121" s="486">
        <f t="shared" si="63"/>
        <v>38853858</v>
      </c>
      <c r="W121" s="486">
        <f t="shared" si="63"/>
        <v>32889916</v>
      </c>
      <c r="X121" s="486">
        <f t="shared" si="63"/>
        <v>0</v>
      </c>
      <c r="Y121" s="511">
        <f>SUM(Y115:Y118)</f>
        <v>51407649</v>
      </c>
      <c r="Z121" s="511">
        <f>SUM(Z115:Z118)</f>
        <v>53208318</v>
      </c>
      <c r="AA121" s="511">
        <f>SUM(AA115:AA118)</f>
        <v>26546630</v>
      </c>
      <c r="AB121" s="511">
        <f>SUM(AB115:AB118)</f>
        <v>26661688</v>
      </c>
      <c r="AC121" s="487">
        <f>(AA121/Z121)*100</f>
        <v>49.891879686931659</v>
      </c>
    </row>
    <row r="122" spans="1:30" ht="21.75" thickBot="1">
      <c r="A122" s="1427" t="s">
        <v>824</v>
      </c>
      <c r="B122" s="1428"/>
      <c r="C122" s="1429"/>
      <c r="D122" s="488"/>
      <c r="E122" s="488"/>
      <c r="F122" s="489"/>
      <c r="G122" s="489">
        <f t="shared" ref="G122:V122" si="64">G121-G113</f>
        <v>-35231956.799999997</v>
      </c>
      <c r="H122" s="489">
        <f t="shared" si="64"/>
        <v>-21567082</v>
      </c>
      <c r="I122" s="489" t="e">
        <f t="shared" si="64"/>
        <v>#DIV/0!</v>
      </c>
      <c r="J122" s="489">
        <f t="shared" si="64"/>
        <v>-13378453.800000001</v>
      </c>
      <c r="K122" s="489">
        <f t="shared" si="64"/>
        <v>-34293128</v>
      </c>
      <c r="L122" s="489">
        <f t="shared" si="64"/>
        <v>-30932632.800000001</v>
      </c>
      <c r="M122" s="489">
        <f t="shared" si="64"/>
        <v>-19230109</v>
      </c>
      <c r="N122" s="489">
        <f t="shared" si="64"/>
        <v>-4440980</v>
      </c>
      <c r="O122" s="489">
        <f t="shared" si="64"/>
        <v>-4299324</v>
      </c>
      <c r="P122" s="489">
        <f t="shared" si="64"/>
        <v>-2650444</v>
      </c>
      <c r="Q122" s="489">
        <f t="shared" si="64"/>
        <v>0</v>
      </c>
      <c r="R122" s="489">
        <f t="shared" si="64"/>
        <v>0</v>
      </c>
      <c r="S122" s="489">
        <f t="shared" si="64"/>
        <v>313471</v>
      </c>
      <c r="T122" s="489">
        <f t="shared" si="64"/>
        <v>0</v>
      </c>
      <c r="U122" s="489">
        <f>F122+T122</f>
        <v>0</v>
      </c>
      <c r="V122" s="489">
        <f t="shared" si="64"/>
        <v>0</v>
      </c>
      <c r="W122" s="490"/>
      <c r="X122" s="490"/>
      <c r="Y122" s="512">
        <f>Y121-Y113</f>
        <v>0</v>
      </c>
      <c r="Z122" s="512">
        <f>Z121-Z113</f>
        <v>0</v>
      </c>
      <c r="AA122" s="512">
        <f>AA121-AA113</f>
        <v>3526500</v>
      </c>
      <c r="AB122" s="512">
        <f>AB121-AB113</f>
        <v>-3526500</v>
      </c>
      <c r="AC122" s="491"/>
    </row>
  </sheetData>
  <mergeCells count="38">
    <mergeCell ref="A114:S114"/>
    <mergeCell ref="A94:B94"/>
    <mergeCell ref="G5:G6"/>
    <mergeCell ref="I5:I6"/>
    <mergeCell ref="E5:E6"/>
    <mergeCell ref="F5:F6"/>
    <mergeCell ref="H5:H6"/>
    <mergeCell ref="A27:C27"/>
    <mergeCell ref="F59:F61"/>
    <mergeCell ref="AC5:AC6"/>
    <mergeCell ref="O5:O6"/>
    <mergeCell ref="P5:P6"/>
    <mergeCell ref="Q5:Q6"/>
    <mergeCell ref="A4:A6"/>
    <mergeCell ref="B4:B6"/>
    <mergeCell ref="C4:C6"/>
    <mergeCell ref="D5:D6"/>
    <mergeCell ref="K5:K6"/>
    <mergeCell ref="L5:L6"/>
    <mergeCell ref="J5:J6"/>
    <mergeCell ref="M5:M6"/>
    <mergeCell ref="N5:N6"/>
    <mergeCell ref="A121:C121"/>
    <mergeCell ref="A122:C122"/>
    <mergeCell ref="A1:F1"/>
    <mergeCell ref="A2:Y2"/>
    <mergeCell ref="D4:AC4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ageMargins left="0.7" right="0.7" top="0.75" bottom="0.75" header="0.3" footer="0.3"/>
  <pageSetup paperSize="8" scale="56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7030A0"/>
    <pageSetUpPr fitToPage="1"/>
  </sheetPr>
  <dimension ref="A1:AP119"/>
  <sheetViews>
    <sheetView view="pageBreakPreview" zoomScaleNormal="100" zoomScaleSheetLayoutView="100" workbookViewId="0">
      <pane xSplit="3" ySplit="6" topLeftCell="AG107" activePane="bottomRight" state="frozen"/>
      <selection activeCell="H18" sqref="H18"/>
      <selection pane="topRight" activeCell="H18" sqref="H18"/>
      <selection pane="bottomLeft" activeCell="H18" sqref="H18"/>
      <selection pane="bottomRight" activeCell="AN118" sqref="AN118"/>
    </sheetView>
  </sheetViews>
  <sheetFormatPr defaultColWidth="8.7109375" defaultRowHeight="15.75"/>
  <cols>
    <col min="1" max="1" width="8.7109375" style="256"/>
    <col min="2" max="2" width="53.140625" style="256" bestFit="1" customWidth="1"/>
    <col min="3" max="3" width="14.7109375" style="256" customWidth="1"/>
    <col min="4" max="4" width="22.140625" style="320" hidden="1" customWidth="1"/>
    <col min="5" max="6" width="24.42578125" style="256" hidden="1" customWidth="1"/>
    <col min="7" max="7" width="21" style="256" hidden="1" customWidth="1"/>
    <col min="8" max="8" width="24.42578125" style="256" customWidth="1"/>
    <col min="9" max="9" width="24.42578125" style="256" hidden="1" customWidth="1"/>
    <col min="10" max="10" width="21" style="256" hidden="1" customWidth="1"/>
    <col min="11" max="11" width="21.85546875" style="256" hidden="1" customWidth="1"/>
    <col min="12" max="12" width="21" style="256" hidden="1" customWidth="1"/>
    <col min="13" max="13" width="24.42578125" style="256" customWidth="1"/>
    <col min="14" max="15" width="24.42578125" style="256" hidden="1" customWidth="1"/>
    <col min="16" max="16" width="21.42578125" style="256" hidden="1" customWidth="1"/>
    <col min="17" max="17" width="20.28515625" style="256" hidden="1" customWidth="1"/>
    <col min="18" max="18" width="22.140625" style="256" bestFit="1" customWidth="1"/>
    <col min="19" max="21" width="22.5703125" style="256" hidden="1" customWidth="1"/>
    <col min="22" max="22" width="19.42578125" style="256" hidden="1" customWidth="1"/>
    <col min="23" max="23" width="22.5703125" style="317" customWidth="1"/>
    <col min="24" max="24" width="22.5703125" style="256" hidden="1" customWidth="1"/>
    <col min="25" max="26" width="22" style="256" hidden="1" customWidth="1"/>
    <col min="27" max="27" width="21" style="256" hidden="1" customWidth="1"/>
    <col min="28" max="28" width="19.42578125" style="256" hidden="1" customWidth="1"/>
    <col min="29" max="29" width="21.42578125" style="256" hidden="1" customWidth="1"/>
    <col min="30" max="30" width="19.85546875" style="256" hidden="1" customWidth="1"/>
    <col min="31" max="32" width="22" style="256" hidden="1" customWidth="1"/>
    <col min="33" max="34" width="22" style="400" customWidth="1"/>
    <col min="35" max="35" width="21.140625" style="256" customWidth="1"/>
    <col min="36" max="36" width="22.28515625" style="256" customWidth="1"/>
    <col min="37" max="37" width="20.140625" style="256" customWidth="1"/>
    <col min="38" max="38" width="22.5703125" style="256" customWidth="1"/>
    <col min="39" max="39" width="22.85546875" style="256" customWidth="1"/>
    <col min="40" max="40" width="24.85546875" style="256" customWidth="1"/>
    <col min="41" max="41" width="20.42578125" style="256" bestFit="1" customWidth="1"/>
    <col min="42" max="42" width="10.85546875" style="256" bestFit="1" customWidth="1"/>
    <col min="43" max="16384" width="8.7109375" style="256"/>
  </cols>
  <sheetData>
    <row r="1" spans="1:42" ht="26.25">
      <c r="A1" s="531" t="s">
        <v>533</v>
      </c>
      <c r="B1" s="531"/>
      <c r="C1" s="531"/>
      <c r="D1" s="532"/>
      <c r="E1" s="531"/>
      <c r="F1" s="409"/>
      <c r="G1" s="409"/>
      <c r="H1" s="409"/>
      <c r="I1" s="409"/>
      <c r="J1" s="533"/>
      <c r="K1" s="533"/>
      <c r="L1" s="533"/>
      <c r="M1" s="533"/>
      <c r="N1" s="533"/>
      <c r="O1" s="533"/>
      <c r="P1" s="533"/>
      <c r="Q1" s="533"/>
      <c r="R1" s="533"/>
      <c r="S1" s="533"/>
      <c r="T1" s="533"/>
      <c r="U1" s="533"/>
      <c r="V1" s="533"/>
      <c r="W1" s="534"/>
      <c r="X1" s="533"/>
      <c r="Y1" s="533"/>
      <c r="Z1" s="413"/>
      <c r="AA1" s="413"/>
      <c r="AB1" s="413"/>
      <c r="AC1" s="413"/>
      <c r="AD1" s="413"/>
      <c r="AE1" s="413"/>
      <c r="AF1" s="413"/>
      <c r="AG1" s="535"/>
      <c r="AH1" s="535"/>
      <c r="AI1" s="413"/>
      <c r="AJ1" s="413"/>
      <c r="AK1" s="413"/>
      <c r="AL1" s="413"/>
      <c r="AM1" s="413"/>
      <c r="AN1" s="413"/>
    </row>
    <row r="2" spans="1:42" ht="26.1" customHeight="1">
      <c r="A2" s="533"/>
      <c r="B2" s="413"/>
      <c r="C2" s="532"/>
      <c r="D2" s="411"/>
      <c r="E2" s="532"/>
      <c r="F2" s="532"/>
      <c r="G2" s="532"/>
      <c r="H2" s="532"/>
      <c r="I2" s="532"/>
      <c r="J2" s="1503" t="s">
        <v>903</v>
      </c>
      <c r="K2" s="1504"/>
      <c r="L2" s="1504"/>
      <c r="M2" s="1504"/>
      <c r="N2" s="1504"/>
      <c r="O2" s="1504"/>
      <c r="P2" s="1504"/>
      <c r="Q2" s="1504"/>
      <c r="R2" s="1504"/>
      <c r="S2" s="1504"/>
      <c r="T2" s="1504"/>
      <c r="U2" s="1504"/>
      <c r="V2" s="1504"/>
      <c r="W2" s="1504"/>
      <c r="X2" s="1504"/>
      <c r="Y2" s="1504"/>
      <c r="Z2" s="1504"/>
      <c r="AA2" s="1504"/>
      <c r="AB2" s="1504"/>
      <c r="AC2" s="1504"/>
      <c r="AD2" s="1504"/>
      <c r="AE2" s="1504"/>
      <c r="AF2" s="1504"/>
      <c r="AG2" s="1504"/>
      <c r="AH2" s="413"/>
      <c r="AI2" s="413"/>
      <c r="AJ2" s="413"/>
      <c r="AK2" s="413"/>
      <c r="AL2" s="413"/>
      <c r="AM2" s="413"/>
      <c r="AN2" s="413"/>
    </row>
    <row r="3" spans="1:42">
      <c r="A3" s="413"/>
      <c r="B3" s="536"/>
      <c r="C3" s="413"/>
      <c r="D3" s="411"/>
      <c r="E3" s="1505" t="s">
        <v>396</v>
      </c>
      <c r="F3" s="1505"/>
      <c r="G3" s="1505"/>
      <c r="H3" s="1505"/>
      <c r="I3" s="1505"/>
      <c r="J3" s="1505"/>
      <c r="K3" s="1505"/>
      <c r="L3" s="1505"/>
      <c r="M3" s="1505"/>
      <c r="N3" s="1505"/>
      <c r="O3" s="1505"/>
      <c r="P3" s="1505"/>
      <c r="Q3" s="1505"/>
      <c r="R3" s="1505"/>
      <c r="S3" s="1505"/>
      <c r="T3" s="1505"/>
      <c r="U3" s="1505"/>
      <c r="V3" s="1505"/>
      <c r="W3" s="1505"/>
      <c r="X3" s="1505"/>
      <c r="Y3" s="1505"/>
      <c r="Z3" s="413"/>
      <c r="AA3" s="413"/>
      <c r="AB3" s="413"/>
      <c r="AC3" s="413"/>
      <c r="AD3" s="413"/>
      <c r="AE3" s="413"/>
      <c r="AF3" s="413"/>
      <c r="AG3" s="535"/>
      <c r="AH3" s="535"/>
      <c r="AI3" s="413"/>
      <c r="AJ3" s="413"/>
      <c r="AK3" s="413"/>
      <c r="AL3" s="413"/>
      <c r="AM3" s="413"/>
      <c r="AN3" s="413"/>
    </row>
    <row r="4" spans="1:42" ht="57" customHeight="1">
      <c r="A4" s="1506" t="s">
        <v>1</v>
      </c>
      <c r="B4" s="1509" t="s">
        <v>2</v>
      </c>
      <c r="C4" s="1506" t="s">
        <v>3</v>
      </c>
      <c r="D4" s="1512" t="s">
        <v>797</v>
      </c>
      <c r="E4" s="1512" t="s">
        <v>430</v>
      </c>
      <c r="F4" s="1512"/>
      <c r="G4" s="1512"/>
      <c r="H4" s="1512"/>
      <c r="I4" s="1512"/>
      <c r="J4" s="1512" t="s">
        <v>429</v>
      </c>
      <c r="K4" s="1512"/>
      <c r="L4" s="1512"/>
      <c r="M4" s="1512"/>
      <c r="N4" s="1512"/>
      <c r="O4" s="1512" t="s">
        <v>428</v>
      </c>
      <c r="P4" s="1512"/>
      <c r="Q4" s="1512"/>
      <c r="R4" s="1512"/>
      <c r="S4" s="1512"/>
      <c r="T4" s="1512" t="s">
        <v>397</v>
      </c>
      <c r="U4" s="1512"/>
      <c r="V4" s="1512"/>
      <c r="W4" s="1512"/>
      <c r="X4" s="1512"/>
      <c r="Y4" s="1513" t="s">
        <v>398</v>
      </c>
      <c r="Z4" s="1513"/>
      <c r="AA4" s="1513"/>
      <c r="AB4" s="1513"/>
      <c r="AC4" s="1513"/>
      <c r="AD4" s="1513"/>
      <c r="AE4" s="1513"/>
      <c r="AF4" s="1513"/>
      <c r="AG4" s="1513"/>
      <c r="AH4" s="1490" t="s">
        <v>798</v>
      </c>
      <c r="AI4" s="1491"/>
      <c r="AJ4" s="1491"/>
      <c r="AK4" s="1491"/>
      <c r="AL4" s="1491"/>
      <c r="AM4" s="1491"/>
      <c r="AN4" s="1492"/>
    </row>
    <row r="5" spans="1:42" s="402" customFormat="1" ht="15" customHeight="1">
      <c r="A5" s="1507"/>
      <c r="B5" s="1510"/>
      <c r="C5" s="1507"/>
      <c r="D5" s="1512"/>
      <c r="E5" s="1489" t="s">
        <v>799</v>
      </c>
      <c r="F5" s="1489" t="s">
        <v>648</v>
      </c>
      <c r="G5" s="1489" t="s">
        <v>642</v>
      </c>
      <c r="H5" s="1487" t="s">
        <v>908</v>
      </c>
      <c r="I5" s="1499" t="s">
        <v>800</v>
      </c>
      <c r="J5" s="1489" t="s">
        <v>799</v>
      </c>
      <c r="K5" s="1489" t="s">
        <v>648</v>
      </c>
      <c r="L5" s="1489" t="s">
        <v>642</v>
      </c>
      <c r="M5" s="1444" t="s">
        <v>907</v>
      </c>
      <c r="N5" s="1499" t="s">
        <v>800</v>
      </c>
      <c r="O5" s="1489" t="s">
        <v>799</v>
      </c>
      <c r="P5" s="1489" t="s">
        <v>648</v>
      </c>
      <c r="Q5" s="1489" t="s">
        <v>642</v>
      </c>
      <c r="R5" s="1444" t="s">
        <v>906</v>
      </c>
      <c r="S5" s="1499" t="s">
        <v>800</v>
      </c>
      <c r="T5" s="1489" t="s">
        <v>799</v>
      </c>
      <c r="U5" s="1489" t="s">
        <v>648</v>
      </c>
      <c r="V5" s="1489" t="s">
        <v>642</v>
      </c>
      <c r="W5" s="1496" t="s">
        <v>904</v>
      </c>
      <c r="X5" s="1499" t="s">
        <v>800</v>
      </c>
      <c r="Y5" s="1500" t="s">
        <v>799</v>
      </c>
      <c r="Z5" s="1501" t="s">
        <v>427</v>
      </c>
      <c r="AA5" s="1501" t="s">
        <v>801</v>
      </c>
      <c r="AB5" s="1501" t="s">
        <v>802</v>
      </c>
      <c r="AC5" s="1495" t="s">
        <v>803</v>
      </c>
      <c r="AD5" s="1444" t="s">
        <v>804</v>
      </c>
      <c r="AE5" s="1501" t="s">
        <v>800</v>
      </c>
      <c r="AF5" s="1444" t="s">
        <v>805</v>
      </c>
      <c r="AG5" s="1340" t="s">
        <v>843</v>
      </c>
      <c r="AH5" s="1335" t="s">
        <v>838</v>
      </c>
      <c r="AI5" s="1485" t="s">
        <v>430</v>
      </c>
      <c r="AJ5" s="1487" t="s">
        <v>429</v>
      </c>
      <c r="AK5" s="1487" t="s">
        <v>428</v>
      </c>
      <c r="AL5" s="1487" t="s">
        <v>397</v>
      </c>
      <c r="AM5" s="1479" t="s">
        <v>952</v>
      </c>
      <c r="AN5" s="1479" t="s">
        <v>953</v>
      </c>
    </row>
    <row r="6" spans="1:42" s="402" customFormat="1" ht="69.75" customHeight="1">
      <c r="A6" s="1507"/>
      <c r="B6" s="1510"/>
      <c r="C6" s="1507"/>
      <c r="D6" s="1512"/>
      <c r="E6" s="1489"/>
      <c r="F6" s="1489"/>
      <c r="G6" s="1489"/>
      <c r="H6" s="1493"/>
      <c r="I6" s="1499"/>
      <c r="J6" s="1489"/>
      <c r="K6" s="1489"/>
      <c r="L6" s="1489"/>
      <c r="M6" s="1494"/>
      <c r="N6" s="1499"/>
      <c r="O6" s="1489"/>
      <c r="P6" s="1489"/>
      <c r="Q6" s="1489"/>
      <c r="R6" s="1494"/>
      <c r="S6" s="1499"/>
      <c r="T6" s="1489"/>
      <c r="U6" s="1489"/>
      <c r="V6" s="1489"/>
      <c r="W6" s="1497"/>
      <c r="X6" s="1499"/>
      <c r="Y6" s="1489"/>
      <c r="Z6" s="1499"/>
      <c r="AA6" s="1499"/>
      <c r="AB6" s="1499"/>
      <c r="AC6" s="1393"/>
      <c r="AD6" s="1495"/>
      <c r="AE6" s="1499"/>
      <c r="AF6" s="1495"/>
      <c r="AG6" s="1502"/>
      <c r="AH6" s="1484"/>
      <c r="AI6" s="1486"/>
      <c r="AJ6" s="1488"/>
      <c r="AK6" s="1488"/>
      <c r="AL6" s="1488"/>
      <c r="AM6" s="1480"/>
      <c r="AN6" s="1480"/>
    </row>
    <row r="7" spans="1:42" s="402" customFormat="1" ht="60.75" customHeight="1">
      <c r="A7" s="1508"/>
      <c r="B7" s="1511"/>
      <c r="C7" s="1508"/>
      <c r="D7" s="527"/>
      <c r="E7" s="526"/>
      <c r="F7" s="526"/>
      <c r="G7" s="526"/>
      <c r="H7" s="1488"/>
      <c r="I7" s="537"/>
      <c r="J7" s="526"/>
      <c r="K7" s="526"/>
      <c r="L7" s="526"/>
      <c r="M7" s="1495"/>
      <c r="N7" s="537"/>
      <c r="O7" s="526"/>
      <c r="P7" s="526"/>
      <c r="Q7" s="526"/>
      <c r="R7" s="1495"/>
      <c r="S7" s="537"/>
      <c r="T7" s="526"/>
      <c r="U7" s="526"/>
      <c r="V7" s="526"/>
      <c r="W7" s="1498"/>
      <c r="X7" s="537"/>
      <c r="Y7" s="526"/>
      <c r="Z7" s="537"/>
      <c r="AA7" s="537"/>
      <c r="AB7" s="537"/>
      <c r="AC7" s="538"/>
      <c r="AD7" s="539"/>
      <c r="AE7" s="537"/>
      <c r="AF7" s="539"/>
      <c r="AG7" s="1341"/>
      <c r="AH7" s="1336"/>
      <c r="AI7" s="416" t="s">
        <v>951</v>
      </c>
      <c r="AJ7" s="416" t="s">
        <v>951</v>
      </c>
      <c r="AK7" s="416" t="s">
        <v>951</v>
      </c>
      <c r="AL7" s="416" t="s">
        <v>951</v>
      </c>
      <c r="AM7" s="1481"/>
      <c r="AN7" s="1481"/>
      <c r="AO7" s="256"/>
      <c r="AP7" s="256"/>
    </row>
    <row r="8" spans="1:42" s="296" customFormat="1">
      <c r="A8" s="262">
        <v>1</v>
      </c>
      <c r="B8" s="263" t="s">
        <v>5</v>
      </c>
      <c r="C8" s="262" t="s">
        <v>6</v>
      </c>
      <c r="D8" s="264">
        <v>38260495</v>
      </c>
      <c r="E8" s="265">
        <v>18181500</v>
      </c>
      <c r="F8" s="265">
        <v>17748082</v>
      </c>
      <c r="G8" s="265">
        <v>12337597</v>
      </c>
      <c r="H8" s="267">
        <f>13833864+3650346</f>
        <v>17484210</v>
      </c>
      <c r="I8" s="540">
        <v>17646258</v>
      </c>
      <c r="J8" s="267">
        <v>14223195</v>
      </c>
      <c r="K8" s="267">
        <v>19464861</v>
      </c>
      <c r="L8" s="267">
        <v>11147305</v>
      </c>
      <c r="M8" s="267">
        <v>22720434</v>
      </c>
      <c r="N8" s="262">
        <v>11433288</v>
      </c>
      <c r="O8" s="266">
        <v>2618050</v>
      </c>
      <c r="P8" s="265">
        <f>O8</f>
        <v>2618050</v>
      </c>
      <c r="Q8" s="266"/>
      <c r="R8" s="267">
        <v>3446900</v>
      </c>
      <c r="S8" s="266"/>
      <c r="T8" s="266">
        <v>3237750</v>
      </c>
      <c r="U8" s="265">
        <v>2844050</v>
      </c>
      <c r="V8" s="266">
        <v>2093753</v>
      </c>
      <c r="W8" s="267">
        <v>3551200</v>
      </c>
      <c r="X8" s="541">
        <v>1701425</v>
      </c>
      <c r="Y8" s="268">
        <f>SUM(E8,J8,O8,T8)</f>
        <v>38260495</v>
      </c>
      <c r="Z8" s="428">
        <v>39605048</v>
      </c>
      <c r="AA8" s="428">
        <v>40056993</v>
      </c>
      <c r="AB8" s="430">
        <f t="shared" ref="AB8:AB23" si="0">AD8-Y8</f>
        <v>59660</v>
      </c>
      <c r="AC8" s="266">
        <f>Y8+AB8</f>
        <v>38320155</v>
      </c>
      <c r="AD8" s="542">
        <f>38041194+278961</f>
        <v>38320155</v>
      </c>
      <c r="AE8" s="268">
        <f t="shared" ref="AE8:AE36" si="1">SUM(I8,N8,S8,X8)</f>
        <v>30780971</v>
      </c>
      <c r="AF8" s="268">
        <v>33474891</v>
      </c>
      <c r="AG8" s="268">
        <f>H8+M8+R8+W8</f>
        <v>47202744</v>
      </c>
      <c r="AH8" s="268">
        <v>46950594</v>
      </c>
      <c r="AI8" s="268">
        <v>10595768</v>
      </c>
      <c r="AJ8" s="268">
        <v>6063123</v>
      </c>
      <c r="AK8" s="268"/>
      <c r="AL8" s="268">
        <v>1409205</v>
      </c>
      <c r="AM8" s="268">
        <f>AI8+AJ8+AK8+AL8</f>
        <v>18068096</v>
      </c>
      <c r="AN8" s="268">
        <f>AH8-AM8</f>
        <v>28882498</v>
      </c>
    </row>
    <row r="9" spans="1:42" s="296" customFormat="1">
      <c r="A9" s="262">
        <v>2</v>
      </c>
      <c r="B9" s="263" t="s">
        <v>7</v>
      </c>
      <c r="C9" s="262" t="s">
        <v>8</v>
      </c>
      <c r="D9" s="264"/>
      <c r="E9" s="265"/>
      <c r="F9" s="265">
        <f t="shared" ref="F9:F23" si="2">E9</f>
        <v>0</v>
      </c>
      <c r="G9" s="265"/>
      <c r="H9" s="269"/>
      <c r="I9" s="267"/>
      <c r="J9" s="269"/>
      <c r="K9" s="267">
        <f t="shared" ref="K9:K23" si="3">J9</f>
        <v>0</v>
      </c>
      <c r="L9" s="269"/>
      <c r="M9" s="269"/>
      <c r="N9" s="266"/>
      <c r="O9" s="266"/>
      <c r="P9" s="265">
        <f t="shared" ref="P9:P23" si="4">O9</f>
        <v>0</v>
      </c>
      <c r="Q9" s="266"/>
      <c r="R9" s="266"/>
      <c r="S9" s="266"/>
      <c r="T9" s="266"/>
      <c r="U9" s="265">
        <f t="shared" ref="U9:U23" si="5">T9</f>
        <v>0</v>
      </c>
      <c r="V9" s="266"/>
      <c r="W9" s="269"/>
      <c r="X9" s="266"/>
      <c r="Y9" s="268">
        <f t="shared" ref="Y9:AA73" si="6">SUM(E9,J9,O9,T9)</f>
        <v>0</v>
      </c>
      <c r="Z9" s="428">
        <v>0</v>
      </c>
      <c r="AA9" s="428">
        <v>0</v>
      </c>
      <c r="AB9" s="430">
        <f t="shared" si="0"/>
        <v>0</v>
      </c>
      <c r="AC9" s="266">
        <f t="shared" ref="AC9:AC73" si="7">Y9+AB9</f>
        <v>0</v>
      </c>
      <c r="AD9" s="266"/>
      <c r="AE9" s="268">
        <f t="shared" si="1"/>
        <v>0</v>
      </c>
      <c r="AF9" s="268"/>
      <c r="AG9" s="268">
        <f t="shared" ref="AG9:AG72" si="8">H9+M9+R9+W9</f>
        <v>0</v>
      </c>
      <c r="AH9" s="268">
        <f t="shared" ref="AH9:AH72" si="9">SUM(AG9)</f>
        <v>0</v>
      </c>
      <c r="AI9" s="268"/>
      <c r="AJ9" s="268"/>
      <c r="AK9" s="268"/>
      <c r="AL9" s="268"/>
      <c r="AM9" s="268">
        <f t="shared" ref="AM9:AM72" si="10">AI9+AJ9+AK9+AL9</f>
        <v>0</v>
      </c>
      <c r="AN9" s="268">
        <f t="shared" ref="AN9:AN72" si="11">AH9-AM9</f>
        <v>0</v>
      </c>
    </row>
    <row r="10" spans="1:42" s="296" customFormat="1">
      <c r="A10" s="262">
        <v>3</v>
      </c>
      <c r="B10" s="263" t="s">
        <v>9</v>
      </c>
      <c r="C10" s="262" t="s">
        <v>10</v>
      </c>
      <c r="D10" s="264"/>
      <c r="E10" s="265"/>
      <c r="F10" s="265">
        <f t="shared" si="2"/>
        <v>0</v>
      </c>
      <c r="G10" s="265"/>
      <c r="H10" s="269"/>
      <c r="I10" s="267"/>
      <c r="J10" s="269"/>
      <c r="K10" s="267">
        <f t="shared" si="3"/>
        <v>0</v>
      </c>
      <c r="L10" s="269"/>
      <c r="M10" s="269"/>
      <c r="N10" s="266"/>
      <c r="O10" s="266"/>
      <c r="P10" s="265">
        <f t="shared" si="4"/>
        <v>0</v>
      </c>
      <c r="Q10" s="266"/>
      <c r="R10" s="266"/>
      <c r="S10" s="266"/>
      <c r="T10" s="266"/>
      <c r="U10" s="265">
        <f t="shared" si="5"/>
        <v>0</v>
      </c>
      <c r="V10" s="266"/>
      <c r="W10" s="269"/>
      <c r="X10" s="266"/>
      <c r="Y10" s="268">
        <f t="shared" si="6"/>
        <v>0</v>
      </c>
      <c r="Z10" s="428">
        <v>0</v>
      </c>
      <c r="AA10" s="428">
        <v>0</v>
      </c>
      <c r="AB10" s="430">
        <f t="shared" si="0"/>
        <v>0</v>
      </c>
      <c r="AC10" s="266">
        <f t="shared" si="7"/>
        <v>0</v>
      </c>
      <c r="AD10" s="266"/>
      <c r="AE10" s="268">
        <f t="shared" si="1"/>
        <v>0</v>
      </c>
      <c r="AF10" s="268"/>
      <c r="AG10" s="268">
        <f t="shared" si="8"/>
        <v>0</v>
      </c>
      <c r="AH10" s="268">
        <f t="shared" si="9"/>
        <v>0</v>
      </c>
      <c r="AI10" s="268"/>
      <c r="AJ10" s="268"/>
      <c r="AK10" s="268"/>
      <c r="AL10" s="268"/>
      <c r="AM10" s="268">
        <f t="shared" si="10"/>
        <v>0</v>
      </c>
      <c r="AN10" s="268">
        <f t="shared" si="11"/>
        <v>0</v>
      </c>
    </row>
    <row r="11" spans="1:42" s="296" customFormat="1">
      <c r="A11" s="262">
        <v>4</v>
      </c>
      <c r="B11" s="263" t="s">
        <v>11</v>
      </c>
      <c r="C11" s="262" t="s">
        <v>12</v>
      </c>
      <c r="D11" s="264"/>
      <c r="E11" s="265"/>
      <c r="F11" s="265">
        <f t="shared" si="2"/>
        <v>0</v>
      </c>
      <c r="G11" s="265"/>
      <c r="H11" s="269"/>
      <c r="I11" s="267"/>
      <c r="J11" s="269"/>
      <c r="K11" s="267">
        <f t="shared" si="3"/>
        <v>0</v>
      </c>
      <c r="L11" s="269"/>
      <c r="M11" s="269"/>
      <c r="N11" s="266"/>
      <c r="O11" s="266"/>
      <c r="P11" s="265">
        <f t="shared" si="4"/>
        <v>0</v>
      </c>
      <c r="Q11" s="266"/>
      <c r="R11" s="266"/>
      <c r="S11" s="266"/>
      <c r="T11" s="266"/>
      <c r="U11" s="265">
        <f t="shared" si="5"/>
        <v>0</v>
      </c>
      <c r="V11" s="266"/>
      <c r="W11" s="269"/>
      <c r="X11" s="266"/>
      <c r="Y11" s="268">
        <f t="shared" si="6"/>
        <v>0</v>
      </c>
      <c r="Z11" s="428">
        <v>0</v>
      </c>
      <c r="AA11" s="428">
        <v>0</v>
      </c>
      <c r="AB11" s="430">
        <f t="shared" si="0"/>
        <v>0</v>
      </c>
      <c r="AC11" s="266">
        <f t="shared" si="7"/>
        <v>0</v>
      </c>
      <c r="AD11" s="266"/>
      <c r="AE11" s="268">
        <f t="shared" si="1"/>
        <v>0</v>
      </c>
      <c r="AF11" s="268"/>
      <c r="AG11" s="268">
        <f t="shared" si="8"/>
        <v>0</v>
      </c>
      <c r="AH11" s="268">
        <f t="shared" si="9"/>
        <v>0</v>
      </c>
      <c r="AI11" s="268"/>
      <c r="AJ11" s="268"/>
      <c r="AK11" s="268"/>
      <c r="AL11" s="268"/>
      <c r="AM11" s="268">
        <f t="shared" si="10"/>
        <v>0</v>
      </c>
      <c r="AN11" s="268">
        <f t="shared" si="11"/>
        <v>0</v>
      </c>
    </row>
    <row r="12" spans="1:42" s="296" customFormat="1">
      <c r="A12" s="262">
        <v>5</v>
      </c>
      <c r="B12" s="263" t="s">
        <v>13</v>
      </c>
      <c r="C12" s="262" t="s">
        <v>14</v>
      </c>
      <c r="D12" s="264"/>
      <c r="E12" s="265"/>
      <c r="F12" s="265">
        <f t="shared" si="2"/>
        <v>0</v>
      </c>
      <c r="G12" s="265"/>
      <c r="H12" s="269"/>
      <c r="I12" s="267"/>
      <c r="J12" s="269"/>
      <c r="K12" s="267">
        <f t="shared" si="3"/>
        <v>0</v>
      </c>
      <c r="L12" s="269"/>
      <c r="M12" s="269"/>
      <c r="N12" s="266"/>
      <c r="O12" s="266"/>
      <c r="P12" s="265">
        <f t="shared" si="4"/>
        <v>0</v>
      </c>
      <c r="Q12" s="266"/>
      <c r="R12" s="266"/>
      <c r="S12" s="266"/>
      <c r="T12" s="266"/>
      <c r="U12" s="265">
        <f t="shared" si="5"/>
        <v>0</v>
      </c>
      <c r="V12" s="266"/>
      <c r="W12" s="269"/>
      <c r="X12" s="266"/>
      <c r="Y12" s="268">
        <f t="shared" si="6"/>
        <v>0</v>
      </c>
      <c r="Z12" s="428">
        <v>0</v>
      </c>
      <c r="AA12" s="428">
        <v>0</v>
      </c>
      <c r="AB12" s="430">
        <f t="shared" si="0"/>
        <v>0</v>
      </c>
      <c r="AC12" s="266">
        <f t="shared" si="7"/>
        <v>0</v>
      </c>
      <c r="AD12" s="266"/>
      <c r="AE12" s="268">
        <f t="shared" si="1"/>
        <v>0</v>
      </c>
      <c r="AF12" s="268"/>
      <c r="AG12" s="268">
        <f t="shared" si="8"/>
        <v>0</v>
      </c>
      <c r="AH12" s="268">
        <f t="shared" si="9"/>
        <v>0</v>
      </c>
      <c r="AI12" s="268"/>
      <c r="AJ12" s="268"/>
      <c r="AK12" s="268"/>
      <c r="AL12" s="268"/>
      <c r="AM12" s="268">
        <f t="shared" si="10"/>
        <v>0</v>
      </c>
      <c r="AN12" s="268">
        <f t="shared" si="11"/>
        <v>0</v>
      </c>
    </row>
    <row r="13" spans="1:42" s="296" customFormat="1">
      <c r="A13" s="262">
        <v>6</v>
      </c>
      <c r="B13" s="263" t="s">
        <v>15</v>
      </c>
      <c r="C13" s="262" t="s">
        <v>16</v>
      </c>
      <c r="D13" s="264"/>
      <c r="E13" s="265"/>
      <c r="F13" s="265">
        <f t="shared" si="2"/>
        <v>0</v>
      </c>
      <c r="G13" s="265"/>
      <c r="H13" s="269"/>
      <c r="I13" s="267"/>
      <c r="J13" s="269">
        <v>0</v>
      </c>
      <c r="K13" s="267">
        <v>3699675</v>
      </c>
      <c r="L13" s="269">
        <v>3699675</v>
      </c>
      <c r="M13" s="269"/>
      <c r="N13" s="266"/>
      <c r="O13" s="266"/>
      <c r="P13" s="265">
        <f t="shared" si="4"/>
        <v>0</v>
      </c>
      <c r="Q13" s="266"/>
      <c r="R13" s="266"/>
      <c r="S13" s="266"/>
      <c r="T13" s="266"/>
      <c r="U13" s="265">
        <f t="shared" si="5"/>
        <v>0</v>
      </c>
      <c r="V13" s="266"/>
      <c r="W13" s="269"/>
      <c r="X13" s="266"/>
      <c r="Y13" s="268">
        <f t="shared" si="6"/>
        <v>0</v>
      </c>
      <c r="Z13" s="428">
        <v>3699675</v>
      </c>
      <c r="AA13" s="428">
        <v>3699675</v>
      </c>
      <c r="AB13" s="430">
        <f t="shared" si="0"/>
        <v>0</v>
      </c>
      <c r="AC13" s="266">
        <f t="shared" si="7"/>
        <v>0</v>
      </c>
      <c r="AD13" s="266"/>
      <c r="AE13" s="268">
        <f t="shared" si="1"/>
        <v>0</v>
      </c>
      <c r="AF13" s="268"/>
      <c r="AG13" s="268">
        <f t="shared" si="8"/>
        <v>0</v>
      </c>
      <c r="AH13" s="268">
        <f t="shared" si="9"/>
        <v>0</v>
      </c>
      <c r="AI13" s="268"/>
      <c r="AJ13" s="268"/>
      <c r="AK13" s="268"/>
      <c r="AL13" s="268"/>
      <c r="AM13" s="268">
        <f t="shared" si="10"/>
        <v>0</v>
      </c>
      <c r="AN13" s="268">
        <f t="shared" si="11"/>
        <v>0</v>
      </c>
    </row>
    <row r="14" spans="1:42" s="296" customFormat="1">
      <c r="A14" s="262">
        <v>7</v>
      </c>
      <c r="B14" s="263" t="s">
        <v>17</v>
      </c>
      <c r="C14" s="262" t="s">
        <v>18</v>
      </c>
      <c r="D14" s="264">
        <v>2400000</v>
      </c>
      <c r="E14" s="265">
        <v>1200000</v>
      </c>
      <c r="F14" s="265">
        <v>1400000</v>
      </c>
      <c r="G14" s="265">
        <v>372520</v>
      </c>
      <c r="H14" s="267">
        <v>800000</v>
      </c>
      <c r="I14" s="540">
        <v>963052</v>
      </c>
      <c r="J14" s="267">
        <v>600000</v>
      </c>
      <c r="K14" s="267">
        <v>1000000</v>
      </c>
      <c r="L14" s="267">
        <v>372521</v>
      </c>
      <c r="M14" s="267">
        <v>1000000</v>
      </c>
      <c r="N14" s="262">
        <v>334575</v>
      </c>
      <c r="O14" s="266">
        <v>200000</v>
      </c>
      <c r="P14" s="265">
        <f t="shared" si="4"/>
        <v>200000</v>
      </c>
      <c r="Q14" s="266"/>
      <c r="R14" s="265">
        <v>200000</v>
      </c>
      <c r="S14" s="266"/>
      <c r="T14" s="266">
        <v>400000</v>
      </c>
      <c r="U14" s="265">
        <v>400000</v>
      </c>
      <c r="V14" s="266">
        <v>149008</v>
      </c>
      <c r="W14" s="267">
        <v>400000</v>
      </c>
      <c r="X14" s="541">
        <v>223050</v>
      </c>
      <c r="Y14" s="268">
        <f t="shared" si="6"/>
        <v>2400000</v>
      </c>
      <c r="Z14" s="428">
        <v>2800000</v>
      </c>
      <c r="AA14" s="428">
        <v>2800000</v>
      </c>
      <c r="AB14" s="430">
        <f t="shared" si="0"/>
        <v>0</v>
      </c>
      <c r="AC14" s="266">
        <f t="shared" si="7"/>
        <v>2400000</v>
      </c>
      <c r="AD14" s="542">
        <v>2400000</v>
      </c>
      <c r="AE14" s="268">
        <f t="shared" si="1"/>
        <v>1520677</v>
      </c>
      <c r="AF14" s="268">
        <v>1520677</v>
      </c>
      <c r="AG14" s="268">
        <f t="shared" si="8"/>
        <v>2400000</v>
      </c>
      <c r="AH14" s="268">
        <f t="shared" si="9"/>
        <v>2400000</v>
      </c>
      <c r="AI14" s="268">
        <v>1093750</v>
      </c>
      <c r="AJ14" s="268">
        <v>338541</v>
      </c>
      <c r="AK14" s="268"/>
      <c r="AL14" s="268">
        <v>201820</v>
      </c>
      <c r="AM14" s="268">
        <f t="shared" si="10"/>
        <v>1634111</v>
      </c>
      <c r="AN14" s="268">
        <f t="shared" si="11"/>
        <v>765889</v>
      </c>
    </row>
    <row r="15" spans="1:42" s="296" customFormat="1" ht="15.75" hidden="1" customHeight="1">
      <c r="A15" s="262">
        <v>8</v>
      </c>
      <c r="B15" s="263" t="s">
        <v>19</v>
      </c>
      <c r="C15" s="262" t="s">
        <v>20</v>
      </c>
      <c r="D15" s="264"/>
      <c r="E15" s="265"/>
      <c r="F15" s="265">
        <f t="shared" si="2"/>
        <v>0</v>
      </c>
      <c r="G15" s="265"/>
      <c r="H15" s="269"/>
      <c r="I15" s="267"/>
      <c r="J15" s="269"/>
      <c r="K15" s="267">
        <f t="shared" si="3"/>
        <v>0</v>
      </c>
      <c r="L15" s="269"/>
      <c r="M15" s="269"/>
      <c r="N15" s="266"/>
      <c r="O15" s="266"/>
      <c r="P15" s="265">
        <f t="shared" si="4"/>
        <v>0</v>
      </c>
      <c r="Q15" s="266"/>
      <c r="R15" s="266"/>
      <c r="S15" s="266"/>
      <c r="T15" s="266"/>
      <c r="U15" s="265">
        <f t="shared" si="5"/>
        <v>0</v>
      </c>
      <c r="V15" s="266"/>
      <c r="W15" s="269"/>
      <c r="X15" s="266"/>
      <c r="Y15" s="268">
        <f t="shared" si="6"/>
        <v>0</v>
      </c>
      <c r="Z15" s="428">
        <v>0</v>
      </c>
      <c r="AA15" s="428">
        <v>0</v>
      </c>
      <c r="AB15" s="430">
        <f t="shared" si="0"/>
        <v>0</v>
      </c>
      <c r="AC15" s="266">
        <f t="shared" si="7"/>
        <v>0</v>
      </c>
      <c r="AD15" s="266"/>
      <c r="AE15" s="268">
        <f t="shared" si="1"/>
        <v>0</v>
      </c>
      <c r="AF15" s="268"/>
      <c r="AG15" s="268">
        <f t="shared" si="8"/>
        <v>0</v>
      </c>
      <c r="AH15" s="268">
        <f t="shared" si="9"/>
        <v>0</v>
      </c>
      <c r="AI15" s="268"/>
      <c r="AJ15" s="268"/>
      <c r="AK15" s="268"/>
      <c r="AL15" s="268"/>
      <c r="AM15" s="268">
        <f t="shared" si="10"/>
        <v>0</v>
      </c>
      <c r="AN15" s="268">
        <f t="shared" si="11"/>
        <v>0</v>
      </c>
    </row>
    <row r="16" spans="1:42" s="296" customFormat="1">
      <c r="A16" s="262">
        <v>9</v>
      </c>
      <c r="B16" s="263" t="s">
        <v>21</v>
      </c>
      <c r="C16" s="262" t="s">
        <v>22</v>
      </c>
      <c r="D16" s="264">
        <v>100000</v>
      </c>
      <c r="E16" s="265">
        <v>100000</v>
      </c>
      <c r="F16" s="265">
        <f t="shared" si="2"/>
        <v>100000</v>
      </c>
      <c r="G16" s="265">
        <v>26420</v>
      </c>
      <c r="H16" s="269">
        <v>0</v>
      </c>
      <c r="I16" s="540">
        <v>28080</v>
      </c>
      <c r="J16" s="269"/>
      <c r="K16" s="267">
        <f t="shared" si="3"/>
        <v>0</v>
      </c>
      <c r="L16" s="269"/>
      <c r="M16" s="269">
        <v>36000</v>
      </c>
      <c r="N16" s="266"/>
      <c r="O16" s="266"/>
      <c r="P16" s="265">
        <f t="shared" si="4"/>
        <v>0</v>
      </c>
      <c r="Q16" s="266"/>
      <c r="R16" s="266"/>
      <c r="S16" s="266"/>
      <c r="T16" s="266"/>
      <c r="U16" s="265">
        <f t="shared" si="5"/>
        <v>0</v>
      </c>
      <c r="V16" s="266"/>
      <c r="W16" s="269"/>
      <c r="X16" s="266"/>
      <c r="Y16" s="268">
        <f t="shared" si="6"/>
        <v>100000</v>
      </c>
      <c r="Z16" s="428">
        <v>0</v>
      </c>
      <c r="AA16" s="428">
        <v>0</v>
      </c>
      <c r="AB16" s="430">
        <f t="shared" si="0"/>
        <v>0</v>
      </c>
      <c r="AC16" s="266">
        <f t="shared" si="7"/>
        <v>100000</v>
      </c>
      <c r="AD16" s="542">
        <v>100000</v>
      </c>
      <c r="AE16" s="268">
        <f t="shared" si="1"/>
        <v>28080</v>
      </c>
      <c r="AF16" s="268">
        <v>28080</v>
      </c>
      <c r="AG16" s="268">
        <f t="shared" si="8"/>
        <v>36000</v>
      </c>
      <c r="AH16" s="268">
        <f t="shared" si="9"/>
        <v>36000</v>
      </c>
      <c r="AI16" s="268"/>
      <c r="AJ16" s="268">
        <v>7380</v>
      </c>
      <c r="AK16" s="268"/>
      <c r="AL16" s="268"/>
      <c r="AM16" s="268">
        <f t="shared" si="10"/>
        <v>7380</v>
      </c>
      <c r="AN16" s="268">
        <f t="shared" si="11"/>
        <v>28620</v>
      </c>
    </row>
    <row r="17" spans="1:41" s="296" customFormat="1">
      <c r="A17" s="262">
        <v>10</v>
      </c>
      <c r="B17" s="263" t="s">
        <v>23</v>
      </c>
      <c r="C17" s="262" t="s">
        <v>24</v>
      </c>
      <c r="D17" s="264">
        <v>144000</v>
      </c>
      <c r="E17" s="265">
        <v>72000</v>
      </c>
      <c r="F17" s="265">
        <v>72000</v>
      </c>
      <c r="G17" s="265">
        <v>34000</v>
      </c>
      <c r="H17" s="267">
        <v>72000</v>
      </c>
      <c r="I17" s="540">
        <v>42000</v>
      </c>
      <c r="J17" s="267">
        <v>36000</v>
      </c>
      <c r="K17" s="267">
        <v>60000</v>
      </c>
      <c r="L17" s="267">
        <v>30000</v>
      </c>
      <c r="M17" s="267">
        <v>48000</v>
      </c>
      <c r="N17" s="262">
        <v>18000</v>
      </c>
      <c r="O17" s="266">
        <v>12000</v>
      </c>
      <c r="P17" s="265">
        <f t="shared" si="4"/>
        <v>12000</v>
      </c>
      <c r="Q17" s="266"/>
      <c r="R17" s="265">
        <v>12000</v>
      </c>
      <c r="S17" s="266"/>
      <c r="T17" s="266">
        <v>24000</v>
      </c>
      <c r="U17" s="265">
        <v>24000</v>
      </c>
      <c r="V17" s="266">
        <v>12000</v>
      </c>
      <c r="W17" s="267">
        <v>24000</v>
      </c>
      <c r="X17" s="541">
        <v>12000</v>
      </c>
      <c r="Y17" s="268">
        <f t="shared" si="6"/>
        <v>144000</v>
      </c>
      <c r="Z17" s="428">
        <v>156000</v>
      </c>
      <c r="AA17" s="428">
        <v>156000</v>
      </c>
      <c r="AB17" s="430">
        <f t="shared" si="0"/>
        <v>0</v>
      </c>
      <c r="AC17" s="266">
        <f t="shared" si="7"/>
        <v>144000</v>
      </c>
      <c r="AD17" s="542">
        <v>144000</v>
      </c>
      <c r="AE17" s="268">
        <f t="shared" si="1"/>
        <v>72000</v>
      </c>
      <c r="AF17" s="268">
        <v>72000</v>
      </c>
      <c r="AG17" s="268">
        <f t="shared" si="8"/>
        <v>156000</v>
      </c>
      <c r="AH17" s="268">
        <f t="shared" si="9"/>
        <v>156000</v>
      </c>
      <c r="AI17" s="268"/>
      <c r="AJ17" s="268"/>
      <c r="AK17" s="268"/>
      <c r="AL17" s="268">
        <v>4000</v>
      </c>
      <c r="AM17" s="268">
        <f t="shared" si="10"/>
        <v>4000</v>
      </c>
      <c r="AN17" s="268">
        <f t="shared" si="11"/>
        <v>152000</v>
      </c>
    </row>
    <row r="18" spans="1:41" s="296" customFormat="1" ht="15.75" hidden="1" customHeight="1">
      <c r="A18" s="262">
        <v>11</v>
      </c>
      <c r="B18" s="263" t="s">
        <v>25</v>
      </c>
      <c r="C18" s="262" t="s">
        <v>26</v>
      </c>
      <c r="D18" s="264"/>
      <c r="E18" s="265"/>
      <c r="F18" s="265">
        <f t="shared" si="2"/>
        <v>0</v>
      </c>
      <c r="G18" s="265"/>
      <c r="H18" s="269"/>
      <c r="I18" s="267"/>
      <c r="J18" s="269"/>
      <c r="K18" s="267">
        <f t="shared" si="3"/>
        <v>0</v>
      </c>
      <c r="L18" s="269"/>
      <c r="M18" s="269"/>
      <c r="N18" s="266"/>
      <c r="O18" s="266"/>
      <c r="P18" s="265">
        <f t="shared" si="4"/>
        <v>0</v>
      </c>
      <c r="Q18" s="266"/>
      <c r="R18" s="266"/>
      <c r="S18" s="266"/>
      <c r="T18" s="266"/>
      <c r="U18" s="265">
        <f t="shared" si="5"/>
        <v>0</v>
      </c>
      <c r="V18" s="266"/>
      <c r="W18" s="269"/>
      <c r="X18" s="266"/>
      <c r="Y18" s="268">
        <f t="shared" si="6"/>
        <v>0</v>
      </c>
      <c r="Z18" s="428">
        <v>0</v>
      </c>
      <c r="AA18" s="428">
        <v>0</v>
      </c>
      <c r="AB18" s="430">
        <f t="shared" si="0"/>
        <v>0</v>
      </c>
      <c r="AC18" s="266">
        <f t="shared" si="7"/>
        <v>0</v>
      </c>
      <c r="AD18" s="266"/>
      <c r="AE18" s="268">
        <f t="shared" si="1"/>
        <v>0</v>
      </c>
      <c r="AF18" s="268"/>
      <c r="AG18" s="268">
        <f t="shared" si="8"/>
        <v>0</v>
      </c>
      <c r="AH18" s="268">
        <f t="shared" si="9"/>
        <v>0</v>
      </c>
      <c r="AI18" s="268"/>
      <c r="AJ18" s="268"/>
      <c r="AK18" s="268"/>
      <c r="AL18" s="268"/>
      <c r="AM18" s="268">
        <f t="shared" si="10"/>
        <v>0</v>
      </c>
      <c r="AN18" s="268">
        <f t="shared" si="11"/>
        <v>0</v>
      </c>
    </row>
    <row r="19" spans="1:41" s="296" customFormat="1" ht="15.75" hidden="1" customHeight="1">
      <c r="A19" s="262">
        <v>12</v>
      </c>
      <c r="B19" s="263" t="s">
        <v>27</v>
      </c>
      <c r="C19" s="262" t="s">
        <v>28</v>
      </c>
      <c r="D19" s="264"/>
      <c r="E19" s="265"/>
      <c r="F19" s="265">
        <f t="shared" si="2"/>
        <v>0</v>
      </c>
      <c r="G19" s="265"/>
      <c r="H19" s="269"/>
      <c r="I19" s="267"/>
      <c r="J19" s="269"/>
      <c r="K19" s="267">
        <f t="shared" si="3"/>
        <v>0</v>
      </c>
      <c r="L19" s="269"/>
      <c r="M19" s="269"/>
      <c r="N19" s="266"/>
      <c r="O19" s="266"/>
      <c r="P19" s="265">
        <f t="shared" si="4"/>
        <v>0</v>
      </c>
      <c r="Q19" s="266"/>
      <c r="R19" s="266"/>
      <c r="S19" s="266"/>
      <c r="T19" s="266"/>
      <c r="U19" s="265">
        <f t="shared" si="5"/>
        <v>0</v>
      </c>
      <c r="V19" s="266"/>
      <c r="W19" s="269"/>
      <c r="X19" s="266"/>
      <c r="Y19" s="268">
        <f t="shared" si="6"/>
        <v>0</v>
      </c>
      <c r="Z19" s="428">
        <v>0</v>
      </c>
      <c r="AA19" s="428">
        <v>0</v>
      </c>
      <c r="AB19" s="430">
        <f t="shared" si="0"/>
        <v>0</v>
      </c>
      <c r="AC19" s="266">
        <f t="shared" si="7"/>
        <v>0</v>
      </c>
      <c r="AD19" s="266"/>
      <c r="AE19" s="268">
        <f t="shared" si="1"/>
        <v>0</v>
      </c>
      <c r="AF19" s="268"/>
      <c r="AG19" s="268">
        <f t="shared" si="8"/>
        <v>0</v>
      </c>
      <c r="AH19" s="268">
        <f t="shared" si="9"/>
        <v>0</v>
      </c>
      <c r="AI19" s="268"/>
      <c r="AJ19" s="268"/>
      <c r="AK19" s="268"/>
      <c r="AL19" s="268"/>
      <c r="AM19" s="268">
        <f t="shared" si="10"/>
        <v>0</v>
      </c>
      <c r="AN19" s="268">
        <f t="shared" si="11"/>
        <v>0</v>
      </c>
    </row>
    <row r="20" spans="1:41" s="296" customFormat="1">
      <c r="A20" s="262">
        <v>13</v>
      </c>
      <c r="B20" s="263" t="s">
        <v>29</v>
      </c>
      <c r="C20" s="262" t="s">
        <v>30</v>
      </c>
      <c r="D20" s="270">
        <v>763796</v>
      </c>
      <c r="E20" s="265"/>
      <c r="F20" s="265">
        <f t="shared" si="2"/>
        <v>0</v>
      </c>
      <c r="G20" s="265">
        <v>107706</v>
      </c>
      <c r="H20" s="269">
        <v>75000</v>
      </c>
      <c r="I20" s="540">
        <v>322706</v>
      </c>
      <c r="J20" s="269"/>
      <c r="K20" s="267">
        <f t="shared" si="3"/>
        <v>0</v>
      </c>
      <c r="L20" s="269">
        <v>136854</v>
      </c>
      <c r="M20" s="269">
        <v>75000</v>
      </c>
      <c r="N20" s="262">
        <v>48720</v>
      </c>
      <c r="O20" s="266">
        <v>763796</v>
      </c>
      <c r="P20" s="265">
        <f t="shared" si="4"/>
        <v>763796</v>
      </c>
      <c r="Q20" s="266"/>
      <c r="R20" s="266">
        <v>0</v>
      </c>
      <c r="S20" s="266"/>
      <c r="T20" s="266"/>
      <c r="U20" s="265">
        <f t="shared" si="5"/>
        <v>0</v>
      </c>
      <c r="V20" s="266">
        <v>220395</v>
      </c>
      <c r="W20" s="269">
        <v>0</v>
      </c>
      <c r="X20" s="541">
        <v>295887</v>
      </c>
      <c r="Y20" s="268">
        <f t="shared" si="6"/>
        <v>763796</v>
      </c>
      <c r="Z20" s="428">
        <v>0</v>
      </c>
      <c r="AA20" s="428">
        <v>0</v>
      </c>
      <c r="AB20" s="430">
        <f t="shared" si="0"/>
        <v>0</v>
      </c>
      <c r="AC20" s="266">
        <f t="shared" si="7"/>
        <v>763796</v>
      </c>
      <c r="AD20" s="542">
        <v>763796</v>
      </c>
      <c r="AE20" s="268">
        <f t="shared" si="1"/>
        <v>667313</v>
      </c>
      <c r="AF20" s="268">
        <v>703463</v>
      </c>
      <c r="AG20" s="268">
        <f t="shared" si="8"/>
        <v>150000</v>
      </c>
      <c r="AH20" s="268">
        <v>567334</v>
      </c>
      <c r="AI20" s="268">
        <v>247354</v>
      </c>
      <c r="AJ20" s="268">
        <v>246062</v>
      </c>
      <c r="AK20" s="268"/>
      <c r="AL20" s="268">
        <v>73918</v>
      </c>
      <c r="AM20" s="268">
        <f t="shared" si="10"/>
        <v>567334</v>
      </c>
      <c r="AN20" s="268">
        <f t="shared" si="11"/>
        <v>0</v>
      </c>
    </row>
    <row r="21" spans="1:41" s="277" customFormat="1">
      <c r="A21" s="271">
        <v>14</v>
      </c>
      <c r="B21" s="272" t="s">
        <v>31</v>
      </c>
      <c r="C21" s="271" t="s">
        <v>32</v>
      </c>
      <c r="D21" s="273">
        <f>SUM(D8:D20)</f>
        <v>41668291</v>
      </c>
      <c r="E21" s="274">
        <f t="shared" ref="E21:X21" si="12">SUM(E8:E20)</f>
        <v>19553500</v>
      </c>
      <c r="F21" s="274">
        <f t="shared" si="12"/>
        <v>19320082</v>
      </c>
      <c r="G21" s="274">
        <f t="shared" si="12"/>
        <v>12878243</v>
      </c>
      <c r="H21" s="275">
        <f>SUM(H8:H20)</f>
        <v>18431210</v>
      </c>
      <c r="I21" s="275">
        <f t="shared" si="12"/>
        <v>19002096</v>
      </c>
      <c r="J21" s="275">
        <f t="shared" si="12"/>
        <v>14859195</v>
      </c>
      <c r="K21" s="275">
        <f t="shared" si="12"/>
        <v>24224536</v>
      </c>
      <c r="L21" s="275">
        <f t="shared" si="12"/>
        <v>15386355</v>
      </c>
      <c r="M21" s="275">
        <f>SUM(M8:M20)</f>
        <v>23879434</v>
      </c>
      <c r="N21" s="274">
        <f t="shared" si="12"/>
        <v>11834583</v>
      </c>
      <c r="O21" s="274">
        <f t="shared" si="12"/>
        <v>3593846</v>
      </c>
      <c r="P21" s="274">
        <f t="shared" si="12"/>
        <v>3593846</v>
      </c>
      <c r="Q21" s="274">
        <f t="shared" si="12"/>
        <v>0</v>
      </c>
      <c r="R21" s="274">
        <f>SUM(R8:R20)</f>
        <v>3658900</v>
      </c>
      <c r="S21" s="274">
        <f t="shared" si="12"/>
        <v>0</v>
      </c>
      <c r="T21" s="274">
        <f t="shared" si="12"/>
        <v>3661750</v>
      </c>
      <c r="U21" s="274">
        <f t="shared" si="12"/>
        <v>3268050</v>
      </c>
      <c r="V21" s="274">
        <f t="shared" si="12"/>
        <v>2475156</v>
      </c>
      <c r="W21" s="275">
        <f t="shared" si="12"/>
        <v>3975200</v>
      </c>
      <c r="X21" s="274">
        <f t="shared" si="12"/>
        <v>2232362</v>
      </c>
      <c r="Y21" s="276">
        <f t="shared" si="6"/>
        <v>41668291</v>
      </c>
      <c r="Z21" s="276">
        <f t="shared" si="6"/>
        <v>50406514</v>
      </c>
      <c r="AA21" s="276">
        <f t="shared" si="6"/>
        <v>30739754</v>
      </c>
      <c r="AB21" s="434">
        <f t="shared" si="0"/>
        <v>59660</v>
      </c>
      <c r="AC21" s="439">
        <f t="shared" si="7"/>
        <v>41727951</v>
      </c>
      <c r="AD21" s="543">
        <f>SUM(AD8:AD20)</f>
        <v>41727951</v>
      </c>
      <c r="AE21" s="276">
        <f t="shared" si="1"/>
        <v>33069041</v>
      </c>
      <c r="AF21" s="276">
        <f>SUM(AF8:AF20)</f>
        <v>35799111</v>
      </c>
      <c r="AG21" s="276">
        <f t="shared" si="8"/>
        <v>49944744</v>
      </c>
      <c r="AH21" s="276">
        <f>SUM(AH8:AH20)</f>
        <v>50109928</v>
      </c>
      <c r="AI21" s="276">
        <f>SUM(AI8:AI20)</f>
        <v>11936872</v>
      </c>
      <c r="AJ21" s="276">
        <f>SUM(AJ8:AJ20)</f>
        <v>6655106</v>
      </c>
      <c r="AK21" s="276">
        <f>SUM(AK8:AK20)</f>
        <v>0</v>
      </c>
      <c r="AL21" s="276">
        <f>SUM(AL8:AL20)</f>
        <v>1688943</v>
      </c>
      <c r="AM21" s="276">
        <f>AI21+AJ21+AK21+AL21</f>
        <v>20280921</v>
      </c>
      <c r="AN21" s="276">
        <f>AH21-AM21</f>
        <v>29829007</v>
      </c>
      <c r="AO21" s="556"/>
    </row>
    <row r="22" spans="1:41" s="296" customFormat="1">
      <c r="A22" s="278"/>
      <c r="B22" s="279" t="s">
        <v>806</v>
      </c>
      <c r="C22" s="278" t="s">
        <v>34</v>
      </c>
      <c r="D22" s="280">
        <v>144000</v>
      </c>
      <c r="E22" s="281"/>
      <c r="F22" s="265">
        <f t="shared" si="2"/>
        <v>0</v>
      </c>
      <c r="G22" s="281">
        <v>290500</v>
      </c>
      <c r="H22" s="267"/>
      <c r="I22" s="540">
        <v>45000</v>
      </c>
      <c r="J22" s="267"/>
      <c r="K22" s="267">
        <f t="shared" si="3"/>
        <v>0</v>
      </c>
      <c r="L22" s="267">
        <v>83000</v>
      </c>
      <c r="M22" s="267"/>
      <c r="N22" s="281"/>
      <c r="O22" s="281">
        <v>144000</v>
      </c>
      <c r="P22" s="265">
        <f t="shared" si="4"/>
        <v>144000</v>
      </c>
      <c r="Q22" s="281"/>
      <c r="R22" s="281">
        <v>1000000</v>
      </c>
      <c r="S22" s="281"/>
      <c r="T22" s="281"/>
      <c r="U22" s="265">
        <f t="shared" si="5"/>
        <v>0</v>
      </c>
      <c r="V22" s="281"/>
      <c r="W22" s="267"/>
      <c r="X22" s="541">
        <v>312684</v>
      </c>
      <c r="Y22" s="268">
        <f t="shared" si="6"/>
        <v>144000</v>
      </c>
      <c r="Z22" s="428">
        <v>0</v>
      </c>
      <c r="AA22" s="428">
        <v>0</v>
      </c>
      <c r="AB22" s="430">
        <f t="shared" si="0"/>
        <v>219301</v>
      </c>
      <c r="AC22" s="266">
        <f t="shared" si="7"/>
        <v>363301</v>
      </c>
      <c r="AD22" s="542">
        <v>363301</v>
      </c>
      <c r="AE22" s="268">
        <f t="shared" si="1"/>
        <v>357684</v>
      </c>
      <c r="AF22" s="268">
        <v>579701</v>
      </c>
      <c r="AG22" s="268">
        <f t="shared" si="8"/>
        <v>1000000</v>
      </c>
      <c r="AH22" s="268">
        <f t="shared" si="9"/>
        <v>1000000</v>
      </c>
      <c r="AI22" s="268">
        <v>357021</v>
      </c>
      <c r="AJ22" s="268"/>
      <c r="AK22" s="268"/>
      <c r="AL22" s="268">
        <v>474500</v>
      </c>
      <c r="AM22" s="268">
        <f t="shared" si="10"/>
        <v>831521</v>
      </c>
      <c r="AN22" s="268">
        <f t="shared" si="11"/>
        <v>168479</v>
      </c>
    </row>
    <row r="23" spans="1:41" s="296" customFormat="1">
      <c r="A23" s="262">
        <v>15</v>
      </c>
      <c r="B23" s="279" t="s">
        <v>399</v>
      </c>
      <c r="C23" s="262" t="s">
        <v>35</v>
      </c>
      <c r="D23" s="264">
        <v>20000</v>
      </c>
      <c r="E23" s="265"/>
      <c r="F23" s="265">
        <f t="shared" si="2"/>
        <v>0</v>
      </c>
      <c r="G23" s="265"/>
      <c r="H23" s="269"/>
      <c r="I23" s="267"/>
      <c r="J23" s="269"/>
      <c r="K23" s="267">
        <f t="shared" si="3"/>
        <v>0</v>
      </c>
      <c r="L23" s="269"/>
      <c r="M23" s="269"/>
      <c r="N23" s="266"/>
      <c r="O23" s="266">
        <v>20000</v>
      </c>
      <c r="P23" s="265">
        <f t="shared" si="4"/>
        <v>20000</v>
      </c>
      <c r="Q23" s="266"/>
      <c r="R23" s="266">
        <v>80000</v>
      </c>
      <c r="S23" s="266"/>
      <c r="T23" s="266"/>
      <c r="U23" s="265">
        <f t="shared" si="5"/>
        <v>0</v>
      </c>
      <c r="V23" s="266"/>
      <c r="W23" s="269"/>
      <c r="X23" s="266"/>
      <c r="Y23" s="268">
        <f t="shared" si="6"/>
        <v>20000</v>
      </c>
      <c r="Z23" s="428">
        <v>0</v>
      </c>
      <c r="AA23" s="428">
        <v>0</v>
      </c>
      <c r="AB23" s="430">
        <f t="shared" si="0"/>
        <v>0</v>
      </c>
      <c r="AC23" s="266">
        <f t="shared" si="7"/>
        <v>20000</v>
      </c>
      <c r="AD23" s="542">
        <v>20000</v>
      </c>
      <c r="AE23" s="268">
        <f t="shared" si="1"/>
        <v>0</v>
      </c>
      <c r="AF23" s="268"/>
      <c r="AG23" s="268">
        <f t="shared" si="8"/>
        <v>80000</v>
      </c>
      <c r="AH23" s="268">
        <f t="shared" si="9"/>
        <v>80000</v>
      </c>
      <c r="AI23" s="268"/>
      <c r="AJ23" s="268"/>
      <c r="AK23" s="268"/>
      <c r="AL23" s="268">
        <v>0</v>
      </c>
      <c r="AM23" s="268">
        <f t="shared" si="10"/>
        <v>0</v>
      </c>
      <c r="AN23" s="268">
        <f t="shared" si="11"/>
        <v>80000</v>
      </c>
    </row>
    <row r="24" spans="1:41" s="277" customFormat="1">
      <c r="A24" s="271">
        <v>16</v>
      </c>
      <c r="B24" s="272" t="s">
        <v>36</v>
      </c>
      <c r="C24" s="271" t="s">
        <v>37</v>
      </c>
      <c r="D24" s="273">
        <f>SUM(D22:D23)</f>
        <v>164000</v>
      </c>
      <c r="E24" s="273">
        <f t="shared" ref="E24:X24" si="13">SUM(E22:E23)</f>
        <v>0</v>
      </c>
      <c r="F24" s="273">
        <f t="shared" si="13"/>
        <v>0</v>
      </c>
      <c r="G24" s="273">
        <f t="shared" si="13"/>
        <v>290500</v>
      </c>
      <c r="H24" s="282">
        <f t="shared" si="13"/>
        <v>0</v>
      </c>
      <c r="I24" s="282">
        <f t="shared" si="13"/>
        <v>45000</v>
      </c>
      <c r="J24" s="282">
        <f t="shared" si="13"/>
        <v>0</v>
      </c>
      <c r="K24" s="282">
        <f t="shared" si="13"/>
        <v>0</v>
      </c>
      <c r="L24" s="282">
        <f t="shared" si="13"/>
        <v>83000</v>
      </c>
      <c r="M24" s="282">
        <f t="shared" si="13"/>
        <v>0</v>
      </c>
      <c r="N24" s="273">
        <f t="shared" si="13"/>
        <v>0</v>
      </c>
      <c r="O24" s="273">
        <f t="shared" si="13"/>
        <v>164000</v>
      </c>
      <c r="P24" s="273">
        <f t="shared" si="13"/>
        <v>164000</v>
      </c>
      <c r="Q24" s="273">
        <f t="shared" si="13"/>
        <v>0</v>
      </c>
      <c r="R24" s="273">
        <f>SUM(R22:R23)</f>
        <v>1080000</v>
      </c>
      <c r="S24" s="273">
        <f t="shared" si="13"/>
        <v>0</v>
      </c>
      <c r="T24" s="273">
        <f t="shared" si="13"/>
        <v>0</v>
      </c>
      <c r="U24" s="273">
        <f t="shared" si="13"/>
        <v>0</v>
      </c>
      <c r="V24" s="273">
        <f t="shared" si="13"/>
        <v>0</v>
      </c>
      <c r="W24" s="282">
        <f t="shared" si="13"/>
        <v>0</v>
      </c>
      <c r="X24" s="273">
        <f t="shared" si="13"/>
        <v>312684</v>
      </c>
      <c r="Y24" s="276">
        <f>SUM(E24,J24,O24,T24)</f>
        <v>164000</v>
      </c>
      <c r="Z24" s="276">
        <f t="shared" ref="Z24:AA24" si="14">SUM(F24,K24,P24,U24)</f>
        <v>164000</v>
      </c>
      <c r="AA24" s="276">
        <f t="shared" si="14"/>
        <v>373500</v>
      </c>
      <c r="AB24" s="276">
        <f>SUM(AB22:AB23)</f>
        <v>219301</v>
      </c>
      <c r="AC24" s="276">
        <f t="shared" ref="AC24" si="15">SUM(J24,O24,T24,Y24)</f>
        <v>328000</v>
      </c>
      <c r="AD24" s="276">
        <f>SUM(AD22,AD23)</f>
        <v>383301</v>
      </c>
      <c r="AE24" s="276">
        <f t="shared" si="1"/>
        <v>357684</v>
      </c>
      <c r="AF24" s="276">
        <f>SUM(AF22:AF23)</f>
        <v>579701</v>
      </c>
      <c r="AG24" s="276">
        <f t="shared" si="8"/>
        <v>1080000</v>
      </c>
      <c r="AH24" s="276">
        <f t="shared" si="9"/>
        <v>1080000</v>
      </c>
      <c r="AI24" s="276">
        <f>SUM(AI22:AI23)</f>
        <v>357021</v>
      </c>
      <c r="AJ24" s="276">
        <f>SUM(AJ22:AJ23)</f>
        <v>0</v>
      </c>
      <c r="AK24" s="276">
        <f>SUM(AK22:AK23)</f>
        <v>0</v>
      </c>
      <c r="AL24" s="276">
        <f>SUM(AL22:AL23)</f>
        <v>474500</v>
      </c>
      <c r="AM24" s="276">
        <f t="shared" si="10"/>
        <v>831521</v>
      </c>
      <c r="AN24" s="276">
        <f t="shared" si="11"/>
        <v>248479</v>
      </c>
    </row>
    <row r="25" spans="1:41" s="277" customFormat="1">
      <c r="A25" s="271">
        <v>17</v>
      </c>
      <c r="B25" s="272" t="s">
        <v>38</v>
      </c>
      <c r="C25" s="271" t="s">
        <v>39</v>
      </c>
      <c r="D25" s="273">
        <f>SUM(D24,D21)</f>
        <v>41832291</v>
      </c>
      <c r="E25" s="273">
        <f t="shared" ref="E25:X25" si="16">SUM(E24,E21)</f>
        <v>19553500</v>
      </c>
      <c r="F25" s="273">
        <f t="shared" si="16"/>
        <v>19320082</v>
      </c>
      <c r="G25" s="273">
        <f t="shared" si="16"/>
        <v>13168743</v>
      </c>
      <c r="H25" s="282">
        <f>SUM(H24,H21)</f>
        <v>18431210</v>
      </c>
      <c r="I25" s="282">
        <f t="shared" si="16"/>
        <v>19047096</v>
      </c>
      <c r="J25" s="282">
        <f t="shared" si="16"/>
        <v>14859195</v>
      </c>
      <c r="K25" s="282">
        <f t="shared" si="16"/>
        <v>24224536</v>
      </c>
      <c r="L25" s="282">
        <f t="shared" si="16"/>
        <v>15469355</v>
      </c>
      <c r="M25" s="282">
        <f t="shared" si="16"/>
        <v>23879434</v>
      </c>
      <c r="N25" s="273">
        <f t="shared" si="16"/>
        <v>11834583</v>
      </c>
      <c r="O25" s="273">
        <f t="shared" si="16"/>
        <v>3757846</v>
      </c>
      <c r="P25" s="273">
        <f t="shared" si="16"/>
        <v>3757846</v>
      </c>
      <c r="Q25" s="273">
        <f t="shared" si="16"/>
        <v>0</v>
      </c>
      <c r="R25" s="273">
        <f>SUM(R24,R21)</f>
        <v>4738900</v>
      </c>
      <c r="S25" s="273">
        <f t="shared" si="16"/>
        <v>0</v>
      </c>
      <c r="T25" s="273">
        <f t="shared" si="16"/>
        <v>3661750</v>
      </c>
      <c r="U25" s="273">
        <f t="shared" si="16"/>
        <v>3268050</v>
      </c>
      <c r="V25" s="273">
        <f t="shared" si="16"/>
        <v>2475156</v>
      </c>
      <c r="W25" s="282">
        <f>SUM(W24,W21)</f>
        <v>3975200</v>
      </c>
      <c r="X25" s="273">
        <f t="shared" si="16"/>
        <v>2545046</v>
      </c>
      <c r="Y25" s="276">
        <f t="shared" si="6"/>
        <v>41832291</v>
      </c>
      <c r="Z25" s="516">
        <v>46260723</v>
      </c>
      <c r="AA25" s="516">
        <v>46712668</v>
      </c>
      <c r="AB25" s="434">
        <f>AD25-Y25</f>
        <v>278961</v>
      </c>
      <c r="AC25" s="439">
        <f t="shared" si="7"/>
        <v>42111252</v>
      </c>
      <c r="AD25" s="543">
        <f>SUM(AD24,AD21)</f>
        <v>42111252</v>
      </c>
      <c r="AE25" s="276">
        <f t="shared" si="1"/>
        <v>33426725</v>
      </c>
      <c r="AF25" s="276">
        <f>AF21+AF24</f>
        <v>36378812</v>
      </c>
      <c r="AG25" s="276">
        <f t="shared" si="8"/>
        <v>51024744</v>
      </c>
      <c r="AH25" s="276">
        <f>AH21+AH24</f>
        <v>51189928</v>
      </c>
      <c r="AI25" s="276">
        <f>AI21+AI24</f>
        <v>12293893</v>
      </c>
      <c r="AJ25" s="276">
        <f>AJ21+AJ24</f>
        <v>6655106</v>
      </c>
      <c r="AK25" s="276">
        <f>AK21+AK24</f>
        <v>0</v>
      </c>
      <c r="AL25" s="276">
        <f>AL21+AL24</f>
        <v>2163443</v>
      </c>
      <c r="AM25" s="276">
        <f t="shared" si="10"/>
        <v>21112442</v>
      </c>
      <c r="AN25" s="276">
        <f t="shared" si="11"/>
        <v>30077486</v>
      </c>
    </row>
    <row r="26" spans="1:41" ht="29.25">
      <c r="A26" s="271">
        <v>18</v>
      </c>
      <c r="B26" s="272" t="s">
        <v>40</v>
      </c>
      <c r="C26" s="271" t="s">
        <v>41</v>
      </c>
      <c r="D26" s="273">
        <v>7460796</v>
      </c>
      <c r="E26" s="274">
        <v>3545392</v>
      </c>
      <c r="F26" s="274">
        <v>3877183</v>
      </c>
      <c r="G26" s="274">
        <v>2891603</v>
      </c>
      <c r="H26" s="275">
        <f>1822500+474545</f>
        <v>2297045</v>
      </c>
      <c r="I26" s="275">
        <f t="shared" ref="I26:V26" si="17">SUM(I8,I17)*0.155</f>
        <v>2741679.9899999998</v>
      </c>
      <c r="J26" s="275">
        <f t="shared" si="17"/>
        <v>2210175.2250000001</v>
      </c>
      <c r="K26" s="275">
        <f t="shared" si="17"/>
        <v>3026353.4550000001</v>
      </c>
      <c r="L26" s="275">
        <f t="shared" si="17"/>
        <v>1732482.2749999999</v>
      </c>
      <c r="M26" s="275">
        <v>3008675</v>
      </c>
      <c r="N26" s="274">
        <f t="shared" si="17"/>
        <v>1774949.64</v>
      </c>
      <c r="O26" s="274">
        <f t="shared" si="17"/>
        <v>407657.75</v>
      </c>
      <c r="P26" s="274">
        <f t="shared" si="17"/>
        <v>407657.75</v>
      </c>
      <c r="Q26" s="274">
        <f t="shared" si="17"/>
        <v>0</v>
      </c>
      <c r="R26" s="274">
        <v>454245</v>
      </c>
      <c r="S26" s="274">
        <f t="shared" si="17"/>
        <v>0</v>
      </c>
      <c r="T26" s="274">
        <f t="shared" si="17"/>
        <v>505571.25</v>
      </c>
      <c r="U26" s="274">
        <f t="shared" si="17"/>
        <v>444547.75</v>
      </c>
      <c r="V26" s="274">
        <f t="shared" si="17"/>
        <v>326391.71500000003</v>
      </c>
      <c r="W26" s="274">
        <v>467946</v>
      </c>
      <c r="X26" s="541">
        <v>682520</v>
      </c>
      <c r="Y26" s="276">
        <f t="shared" si="6"/>
        <v>6668796.2249999996</v>
      </c>
      <c r="Z26" s="428">
        <v>9476237</v>
      </c>
      <c r="AA26" s="428">
        <v>9476237</v>
      </c>
      <c r="AB26" s="430">
        <f>AD26-Y26</f>
        <v>1005939.7750000004</v>
      </c>
      <c r="AC26" s="266">
        <f t="shared" si="7"/>
        <v>7674736</v>
      </c>
      <c r="AD26" s="543">
        <f>7460796+213940</f>
        <v>7674736</v>
      </c>
      <c r="AE26" s="276">
        <f t="shared" si="1"/>
        <v>5199149.63</v>
      </c>
      <c r="AF26" s="276">
        <v>7216231</v>
      </c>
      <c r="AG26" s="276">
        <f>H26+M26+R26+W26</f>
        <v>6227911</v>
      </c>
      <c r="AH26" s="276">
        <f t="shared" si="9"/>
        <v>6227911</v>
      </c>
      <c r="AI26" s="276">
        <f>1652381+11647+164066</f>
        <v>1828094</v>
      </c>
      <c r="AJ26" s="276">
        <f>907339+314544+50782</f>
        <v>1272665</v>
      </c>
      <c r="AK26" s="276">
        <f>317+357</f>
        <v>674</v>
      </c>
      <c r="AL26" s="276">
        <f>226036+30274</f>
        <v>256310</v>
      </c>
      <c r="AM26" s="276">
        <f t="shared" si="10"/>
        <v>3357743</v>
      </c>
      <c r="AN26" s="276">
        <f t="shared" si="11"/>
        <v>2870168</v>
      </c>
    </row>
    <row r="27" spans="1:41" s="277" customFormat="1" ht="18.75">
      <c r="A27" s="1469" t="s">
        <v>42</v>
      </c>
      <c r="B27" s="1469"/>
      <c r="C27" s="1469"/>
      <c r="D27" s="284">
        <f>SUM(D25:D26)</f>
        <v>49293087</v>
      </c>
      <c r="E27" s="284">
        <f t="shared" ref="E27:X27" si="18">SUM(E25:E26)</f>
        <v>23098892</v>
      </c>
      <c r="F27" s="284">
        <f t="shared" si="18"/>
        <v>23197265</v>
      </c>
      <c r="G27" s="284">
        <f t="shared" si="18"/>
        <v>16060346</v>
      </c>
      <c r="H27" s="285">
        <f>SUM(H25:H26)</f>
        <v>20728255</v>
      </c>
      <c r="I27" s="285">
        <f t="shared" si="18"/>
        <v>21788775.989999998</v>
      </c>
      <c r="J27" s="285">
        <f t="shared" si="18"/>
        <v>17069370.225000001</v>
      </c>
      <c r="K27" s="285">
        <f t="shared" si="18"/>
        <v>27250889.454999998</v>
      </c>
      <c r="L27" s="285">
        <f t="shared" si="18"/>
        <v>17201837.274999999</v>
      </c>
      <c r="M27" s="285">
        <f t="shared" si="18"/>
        <v>26888109</v>
      </c>
      <c r="N27" s="284">
        <f t="shared" si="18"/>
        <v>13609532.640000001</v>
      </c>
      <c r="O27" s="284">
        <f t="shared" si="18"/>
        <v>4165503.75</v>
      </c>
      <c r="P27" s="284">
        <f t="shared" si="18"/>
        <v>4165503.75</v>
      </c>
      <c r="Q27" s="284">
        <f t="shared" si="18"/>
        <v>0</v>
      </c>
      <c r="R27" s="284">
        <f>SUM(R25:R26)</f>
        <v>5193145</v>
      </c>
      <c r="S27" s="284">
        <f t="shared" si="18"/>
        <v>0</v>
      </c>
      <c r="T27" s="284">
        <f t="shared" si="18"/>
        <v>4167321.25</v>
      </c>
      <c r="U27" s="284">
        <f t="shared" si="18"/>
        <v>3712597.75</v>
      </c>
      <c r="V27" s="284">
        <f t="shared" si="18"/>
        <v>2801547.7149999999</v>
      </c>
      <c r="W27" s="285">
        <f t="shared" si="18"/>
        <v>4443146</v>
      </c>
      <c r="X27" s="284">
        <f t="shared" si="18"/>
        <v>3227566</v>
      </c>
      <c r="Y27" s="276">
        <f>SUM(E27,J27,O27,T27)</f>
        <v>48501087.225000001</v>
      </c>
      <c r="Z27" s="516">
        <v>55736960</v>
      </c>
      <c r="AA27" s="516">
        <v>56188905</v>
      </c>
      <c r="AB27" s="434">
        <f>SUM(AB25:AB26)</f>
        <v>1284900.7750000004</v>
      </c>
      <c r="AC27" s="434">
        <f>SUM(AC25:AC26)</f>
        <v>49785988</v>
      </c>
      <c r="AD27" s="439"/>
      <c r="AE27" s="276">
        <f t="shared" si="1"/>
        <v>38625874.629999995</v>
      </c>
      <c r="AF27" s="276">
        <f>AF25+AF26</f>
        <v>43595043</v>
      </c>
      <c r="AG27" s="276">
        <f t="shared" si="8"/>
        <v>57252655</v>
      </c>
      <c r="AH27" s="276">
        <f>AH25+AH26</f>
        <v>57417839</v>
      </c>
      <c r="AI27" s="276">
        <f>AI26+AI25</f>
        <v>14121987</v>
      </c>
      <c r="AJ27" s="276">
        <f>AJ26+AJ25</f>
        <v>7927771</v>
      </c>
      <c r="AK27" s="276">
        <f>AK26+AK25</f>
        <v>674</v>
      </c>
      <c r="AL27" s="276">
        <f>AL26+AL25</f>
        <v>2419753</v>
      </c>
      <c r="AM27" s="276">
        <f>AI27+AJ27+AK27+AL27</f>
        <v>24470185</v>
      </c>
      <c r="AN27" s="276">
        <f t="shared" si="11"/>
        <v>32947654</v>
      </c>
    </row>
    <row r="28" spans="1:41" s="296" customFormat="1">
      <c r="A28" s="278">
        <v>19</v>
      </c>
      <c r="B28" s="279" t="s">
        <v>43</v>
      </c>
      <c r="C28" s="278" t="s">
        <v>44</v>
      </c>
      <c r="D28" s="286">
        <f t="shared" ref="D28:V28" si="19">SUM(D29:D32)</f>
        <v>100000</v>
      </c>
      <c r="E28" s="281">
        <f t="shared" si="19"/>
        <v>0</v>
      </c>
      <c r="F28" s="281">
        <f t="shared" si="19"/>
        <v>0</v>
      </c>
      <c r="G28" s="281">
        <f t="shared" si="19"/>
        <v>3923</v>
      </c>
      <c r="H28" s="281"/>
      <c r="I28" s="281"/>
      <c r="J28" s="281">
        <f t="shared" si="19"/>
        <v>0</v>
      </c>
      <c r="K28" s="281">
        <f t="shared" si="19"/>
        <v>0</v>
      </c>
      <c r="L28" s="281">
        <f t="shared" si="19"/>
        <v>0</v>
      </c>
      <c r="M28" s="281"/>
      <c r="N28" s="281"/>
      <c r="O28" s="281">
        <f t="shared" si="19"/>
        <v>100000</v>
      </c>
      <c r="P28" s="281">
        <f t="shared" si="19"/>
        <v>85000</v>
      </c>
      <c r="Q28" s="281">
        <f t="shared" si="19"/>
        <v>13086</v>
      </c>
      <c r="R28" s="281">
        <v>60000</v>
      </c>
      <c r="S28" s="281"/>
      <c r="T28" s="281">
        <f t="shared" si="19"/>
        <v>0</v>
      </c>
      <c r="U28" s="281">
        <f t="shared" si="19"/>
        <v>0</v>
      </c>
      <c r="V28" s="281">
        <f t="shared" si="19"/>
        <v>0</v>
      </c>
      <c r="W28" s="267"/>
      <c r="X28" s="281"/>
      <c r="Y28" s="268">
        <f t="shared" si="6"/>
        <v>100000</v>
      </c>
      <c r="Z28" s="428">
        <v>85000</v>
      </c>
      <c r="AA28" s="428">
        <v>85000</v>
      </c>
      <c r="AB28" s="430">
        <f t="shared" ref="AB28:AB36" si="20">AD28-Y28</f>
        <v>0</v>
      </c>
      <c r="AC28" s="266">
        <f t="shared" si="7"/>
        <v>100000</v>
      </c>
      <c r="AD28" s="542">
        <v>100000</v>
      </c>
      <c r="AE28" s="268">
        <f t="shared" si="1"/>
        <v>0</v>
      </c>
      <c r="AF28" s="268">
        <v>6476</v>
      </c>
      <c r="AG28" s="268">
        <f t="shared" si="8"/>
        <v>60000</v>
      </c>
      <c r="AH28" s="268">
        <f t="shared" si="9"/>
        <v>60000</v>
      </c>
      <c r="AI28" s="268"/>
      <c r="AJ28" s="268"/>
      <c r="AK28" s="268"/>
      <c r="AL28" s="268"/>
      <c r="AM28" s="268">
        <f t="shared" si="10"/>
        <v>0</v>
      </c>
      <c r="AN28" s="268">
        <f t="shared" si="11"/>
        <v>60000</v>
      </c>
    </row>
    <row r="29" spans="1:41" s="296" customFormat="1" ht="15.75" hidden="1" customHeight="1">
      <c r="A29" s="262">
        <v>20</v>
      </c>
      <c r="B29" s="287" t="s">
        <v>45</v>
      </c>
      <c r="C29" s="262"/>
      <c r="D29" s="264"/>
      <c r="E29" s="265"/>
      <c r="F29" s="265">
        <f>E29</f>
        <v>0</v>
      </c>
      <c r="G29" s="265">
        <v>3923</v>
      </c>
      <c r="H29" s="265"/>
      <c r="I29" s="265"/>
      <c r="J29" s="266"/>
      <c r="K29" s="265">
        <f>J29</f>
        <v>0</v>
      </c>
      <c r="L29" s="266"/>
      <c r="M29" s="266"/>
      <c r="N29" s="266"/>
      <c r="O29" s="266"/>
      <c r="P29" s="265">
        <f>O29</f>
        <v>0</v>
      </c>
      <c r="Q29" s="266">
        <v>13086</v>
      </c>
      <c r="R29" s="266"/>
      <c r="S29" s="266"/>
      <c r="T29" s="266"/>
      <c r="U29" s="265">
        <f>T29</f>
        <v>0</v>
      </c>
      <c r="V29" s="266"/>
      <c r="W29" s="269"/>
      <c r="X29" s="266"/>
      <c r="Y29" s="268">
        <f t="shared" si="6"/>
        <v>0</v>
      </c>
      <c r="Z29" s="428">
        <v>0</v>
      </c>
      <c r="AA29" s="428">
        <v>0</v>
      </c>
      <c r="AB29" s="430">
        <f t="shared" si="20"/>
        <v>0</v>
      </c>
      <c r="AC29" s="266">
        <f t="shared" si="7"/>
        <v>0</v>
      </c>
      <c r="AD29" s="266"/>
      <c r="AE29" s="268">
        <f t="shared" si="1"/>
        <v>0</v>
      </c>
      <c r="AF29" s="268"/>
      <c r="AG29" s="268">
        <f t="shared" si="8"/>
        <v>0</v>
      </c>
      <c r="AH29" s="268">
        <f t="shared" si="9"/>
        <v>0</v>
      </c>
      <c r="AI29" s="268"/>
      <c r="AJ29" s="268"/>
      <c r="AK29" s="268"/>
      <c r="AL29" s="268"/>
      <c r="AM29" s="268">
        <f t="shared" si="10"/>
        <v>0</v>
      </c>
      <c r="AN29" s="268">
        <f t="shared" si="11"/>
        <v>0</v>
      </c>
    </row>
    <row r="30" spans="1:41" s="296" customFormat="1" ht="15.75" hidden="1" customHeight="1">
      <c r="A30" s="262">
        <v>21</v>
      </c>
      <c r="B30" s="287" t="s">
        <v>46</v>
      </c>
      <c r="C30" s="262"/>
      <c r="D30" s="264"/>
      <c r="E30" s="265"/>
      <c r="F30" s="265">
        <f t="shared" ref="F30:F32" si="21">E30</f>
        <v>0</v>
      </c>
      <c r="G30" s="265"/>
      <c r="H30" s="265"/>
      <c r="I30" s="265"/>
      <c r="J30" s="266"/>
      <c r="K30" s="265">
        <f t="shared" ref="K30:K32" si="22">J30</f>
        <v>0</v>
      </c>
      <c r="L30" s="266"/>
      <c r="M30" s="266"/>
      <c r="N30" s="266"/>
      <c r="O30" s="266"/>
      <c r="P30" s="265">
        <f t="shared" ref="P30:P32" si="23">O30</f>
        <v>0</v>
      </c>
      <c r="Q30" s="266"/>
      <c r="R30" s="266"/>
      <c r="S30" s="266"/>
      <c r="T30" s="266"/>
      <c r="U30" s="265">
        <f t="shared" ref="U30:U32" si="24">T30</f>
        <v>0</v>
      </c>
      <c r="V30" s="266"/>
      <c r="W30" s="269"/>
      <c r="X30" s="266"/>
      <c r="Y30" s="268">
        <f t="shared" si="6"/>
        <v>0</v>
      </c>
      <c r="Z30" s="428">
        <v>0</v>
      </c>
      <c r="AA30" s="428">
        <v>0</v>
      </c>
      <c r="AB30" s="430">
        <f t="shared" si="20"/>
        <v>0</v>
      </c>
      <c r="AC30" s="266">
        <f t="shared" si="7"/>
        <v>0</v>
      </c>
      <c r="AD30" s="266"/>
      <c r="AE30" s="268">
        <f t="shared" si="1"/>
        <v>0</v>
      </c>
      <c r="AF30" s="268"/>
      <c r="AG30" s="268">
        <f t="shared" si="8"/>
        <v>0</v>
      </c>
      <c r="AH30" s="268">
        <f t="shared" si="9"/>
        <v>0</v>
      </c>
      <c r="AI30" s="268"/>
      <c r="AJ30" s="268"/>
      <c r="AK30" s="268"/>
      <c r="AL30" s="268"/>
      <c r="AM30" s="268">
        <f t="shared" si="10"/>
        <v>0</v>
      </c>
      <c r="AN30" s="268">
        <f t="shared" si="11"/>
        <v>0</v>
      </c>
    </row>
    <row r="31" spans="1:41" s="296" customFormat="1" ht="15.75" hidden="1" customHeight="1">
      <c r="A31" s="262">
        <v>22</v>
      </c>
      <c r="B31" s="287" t="s">
        <v>400</v>
      </c>
      <c r="C31" s="262"/>
      <c r="D31" s="264">
        <v>100000</v>
      </c>
      <c r="E31" s="265"/>
      <c r="F31" s="265">
        <f t="shared" si="21"/>
        <v>0</v>
      </c>
      <c r="G31" s="265"/>
      <c r="H31" s="265"/>
      <c r="I31" s="265"/>
      <c r="J31" s="266"/>
      <c r="K31" s="265">
        <f t="shared" si="22"/>
        <v>0</v>
      </c>
      <c r="L31" s="266"/>
      <c r="M31" s="266"/>
      <c r="N31" s="266"/>
      <c r="O31" s="266">
        <v>100000</v>
      </c>
      <c r="P31" s="265">
        <v>85000</v>
      </c>
      <c r="Q31" s="266"/>
      <c r="R31" s="266"/>
      <c r="S31" s="266"/>
      <c r="T31" s="266"/>
      <c r="U31" s="265">
        <f t="shared" si="24"/>
        <v>0</v>
      </c>
      <c r="V31" s="266"/>
      <c r="W31" s="269"/>
      <c r="X31" s="266"/>
      <c r="Y31" s="268">
        <f t="shared" si="6"/>
        <v>100000</v>
      </c>
      <c r="Z31" s="428">
        <v>85000</v>
      </c>
      <c r="AA31" s="428">
        <v>85000</v>
      </c>
      <c r="AB31" s="430">
        <f t="shared" si="20"/>
        <v>-100000</v>
      </c>
      <c r="AC31" s="266">
        <f t="shared" si="7"/>
        <v>0</v>
      </c>
      <c r="AD31" s="266"/>
      <c r="AE31" s="268">
        <f t="shared" si="1"/>
        <v>0</v>
      </c>
      <c r="AF31" s="268"/>
      <c r="AG31" s="268">
        <f t="shared" si="8"/>
        <v>0</v>
      </c>
      <c r="AH31" s="268">
        <f t="shared" si="9"/>
        <v>0</v>
      </c>
      <c r="AI31" s="268"/>
      <c r="AJ31" s="268"/>
      <c r="AK31" s="268"/>
      <c r="AL31" s="268"/>
      <c r="AM31" s="268">
        <f t="shared" si="10"/>
        <v>0</v>
      </c>
      <c r="AN31" s="268">
        <f t="shared" si="11"/>
        <v>0</v>
      </c>
    </row>
    <row r="32" spans="1:41" s="296" customFormat="1" ht="15.75" hidden="1" customHeight="1">
      <c r="A32" s="262">
        <v>23</v>
      </c>
      <c r="B32" s="287" t="s">
        <v>401</v>
      </c>
      <c r="C32" s="262"/>
      <c r="D32" s="264"/>
      <c r="E32" s="265"/>
      <c r="F32" s="265">
        <f t="shared" si="21"/>
        <v>0</v>
      </c>
      <c r="G32" s="265"/>
      <c r="H32" s="265"/>
      <c r="I32" s="265"/>
      <c r="J32" s="266"/>
      <c r="K32" s="265">
        <f t="shared" si="22"/>
        <v>0</v>
      </c>
      <c r="L32" s="266"/>
      <c r="M32" s="266"/>
      <c r="N32" s="266"/>
      <c r="O32" s="266"/>
      <c r="P32" s="265">
        <f t="shared" si="23"/>
        <v>0</v>
      </c>
      <c r="Q32" s="266"/>
      <c r="R32" s="266"/>
      <c r="S32" s="266"/>
      <c r="T32" s="266"/>
      <c r="U32" s="265">
        <f t="shared" si="24"/>
        <v>0</v>
      </c>
      <c r="V32" s="266"/>
      <c r="W32" s="269"/>
      <c r="X32" s="266"/>
      <c r="Y32" s="268">
        <f t="shared" si="6"/>
        <v>0</v>
      </c>
      <c r="Z32" s="428">
        <v>0</v>
      </c>
      <c r="AA32" s="428">
        <v>0</v>
      </c>
      <c r="AB32" s="430">
        <f t="shared" si="20"/>
        <v>0</v>
      </c>
      <c r="AC32" s="266">
        <f t="shared" si="7"/>
        <v>0</v>
      </c>
      <c r="AD32" s="266"/>
      <c r="AE32" s="268">
        <f t="shared" si="1"/>
        <v>0</v>
      </c>
      <c r="AF32" s="268"/>
      <c r="AG32" s="268">
        <f t="shared" si="8"/>
        <v>0</v>
      </c>
      <c r="AH32" s="268">
        <f t="shared" si="9"/>
        <v>0</v>
      </c>
      <c r="AI32" s="268"/>
      <c r="AJ32" s="268"/>
      <c r="AK32" s="268"/>
      <c r="AL32" s="268"/>
      <c r="AM32" s="268">
        <f t="shared" si="10"/>
        <v>0</v>
      </c>
      <c r="AN32" s="268">
        <f t="shared" si="11"/>
        <v>0</v>
      </c>
    </row>
    <row r="33" spans="1:40" s="296" customFormat="1">
      <c r="A33" s="278">
        <v>24</v>
      </c>
      <c r="B33" s="279" t="s">
        <v>48</v>
      </c>
      <c r="C33" s="278" t="s">
        <v>49</v>
      </c>
      <c r="D33" s="286">
        <f>SUM(D34:D40)</f>
        <v>770000</v>
      </c>
      <c r="E33" s="281">
        <f t="shared" ref="E33:V33" si="25">SUM(E34:E40)</f>
        <v>0</v>
      </c>
      <c r="F33" s="281">
        <f t="shared" si="25"/>
        <v>0</v>
      </c>
      <c r="G33" s="281">
        <f t="shared" si="25"/>
        <v>0</v>
      </c>
      <c r="H33" s="281"/>
      <c r="I33" s="281"/>
      <c r="J33" s="281">
        <f t="shared" si="25"/>
        <v>0</v>
      </c>
      <c r="K33" s="281">
        <f t="shared" si="25"/>
        <v>0</v>
      </c>
      <c r="L33" s="281">
        <f t="shared" si="25"/>
        <v>0</v>
      </c>
      <c r="M33" s="281"/>
      <c r="N33" s="281"/>
      <c r="O33" s="281">
        <f t="shared" si="25"/>
        <v>770000</v>
      </c>
      <c r="P33" s="281">
        <f t="shared" si="25"/>
        <v>1072000</v>
      </c>
      <c r="Q33" s="281">
        <f t="shared" si="25"/>
        <v>305413</v>
      </c>
      <c r="R33" s="281">
        <f>SUM(R34:R40)</f>
        <v>1155000</v>
      </c>
      <c r="S33" s="262">
        <v>328231</v>
      </c>
      <c r="T33" s="281">
        <f t="shared" si="25"/>
        <v>0</v>
      </c>
      <c r="U33" s="281">
        <f t="shared" si="25"/>
        <v>0</v>
      </c>
      <c r="V33" s="281">
        <f t="shared" si="25"/>
        <v>0</v>
      </c>
      <c r="W33" s="267"/>
      <c r="X33" s="281"/>
      <c r="Y33" s="268">
        <f t="shared" si="6"/>
        <v>770000</v>
      </c>
      <c r="Z33" s="428">
        <v>852000</v>
      </c>
      <c r="AA33" s="428">
        <v>852000</v>
      </c>
      <c r="AB33" s="430">
        <f t="shared" si="20"/>
        <v>-135000</v>
      </c>
      <c r="AC33" s="266">
        <f t="shared" si="7"/>
        <v>635000</v>
      </c>
      <c r="AD33" s="542">
        <v>635000</v>
      </c>
      <c r="AE33" s="268">
        <f t="shared" si="1"/>
        <v>328231</v>
      </c>
      <c r="AF33" s="268">
        <v>763200</v>
      </c>
      <c r="AG33" s="268">
        <f>H33+M33+R33+W33</f>
        <v>1155000</v>
      </c>
      <c r="AH33" s="268">
        <v>869816</v>
      </c>
      <c r="AI33" s="268">
        <v>0</v>
      </c>
      <c r="AJ33" s="268"/>
      <c r="AK33" s="268">
        <f>SUM(AK34:AK40)</f>
        <v>147853</v>
      </c>
      <c r="AL33" s="268"/>
      <c r="AM33" s="268">
        <f t="shared" si="10"/>
        <v>147853</v>
      </c>
      <c r="AN33" s="268">
        <f t="shared" si="11"/>
        <v>721963</v>
      </c>
    </row>
    <row r="34" spans="1:40" s="296" customFormat="1">
      <c r="A34" s="262">
        <v>25</v>
      </c>
      <c r="B34" s="287" t="s">
        <v>50</v>
      </c>
      <c r="C34" s="262"/>
      <c r="D34" s="288">
        <v>50000</v>
      </c>
      <c r="E34" s="265"/>
      <c r="F34" s="265">
        <f>E34</f>
        <v>0</v>
      </c>
      <c r="G34" s="265"/>
      <c r="H34" s="265"/>
      <c r="I34" s="265"/>
      <c r="J34" s="266"/>
      <c r="K34" s="265">
        <f>J34</f>
        <v>0</v>
      </c>
      <c r="L34" s="266"/>
      <c r="M34" s="266"/>
      <c r="N34" s="266"/>
      <c r="O34" s="266">
        <v>50000</v>
      </c>
      <c r="P34" s="265">
        <v>200000</v>
      </c>
      <c r="Q34" s="266">
        <v>1276</v>
      </c>
      <c r="R34" s="269">
        <v>150000</v>
      </c>
      <c r="S34" s="266"/>
      <c r="T34" s="266"/>
      <c r="U34" s="265">
        <f>T34</f>
        <v>0</v>
      </c>
      <c r="V34" s="266"/>
      <c r="W34" s="269"/>
      <c r="X34" s="266"/>
      <c r="Y34" s="268">
        <f t="shared" si="6"/>
        <v>50000</v>
      </c>
      <c r="Z34" s="428">
        <v>200000</v>
      </c>
      <c r="AA34" s="428">
        <v>200000</v>
      </c>
      <c r="AB34" s="430">
        <f t="shared" si="20"/>
        <v>-50000</v>
      </c>
      <c r="AC34" s="266">
        <f t="shared" si="7"/>
        <v>0</v>
      </c>
      <c r="AD34" s="266"/>
      <c r="AE34" s="268">
        <f t="shared" si="1"/>
        <v>0</v>
      </c>
      <c r="AF34" s="268"/>
      <c r="AG34" s="268">
        <f t="shared" si="8"/>
        <v>150000</v>
      </c>
      <c r="AH34" s="268"/>
      <c r="AI34" s="268">
        <v>0</v>
      </c>
      <c r="AJ34" s="268"/>
      <c r="AK34" s="268">
        <v>37504</v>
      </c>
      <c r="AL34" s="268"/>
      <c r="AM34" s="268">
        <f t="shared" si="10"/>
        <v>37504</v>
      </c>
      <c r="AN34" s="268">
        <f t="shared" si="11"/>
        <v>-37504</v>
      </c>
    </row>
    <row r="35" spans="1:40" s="296" customFormat="1">
      <c r="A35" s="262">
        <v>26</v>
      </c>
      <c r="B35" s="287" t="s">
        <v>51</v>
      </c>
      <c r="C35" s="262"/>
      <c r="D35" s="288">
        <v>170000</v>
      </c>
      <c r="E35" s="265"/>
      <c r="F35" s="265">
        <f t="shared" ref="F35:F40" si="26">E35</f>
        <v>0</v>
      </c>
      <c r="G35" s="265"/>
      <c r="H35" s="265"/>
      <c r="I35" s="265"/>
      <c r="J35" s="266"/>
      <c r="K35" s="265">
        <f t="shared" ref="K35:K40" si="27">J35</f>
        <v>0</v>
      </c>
      <c r="L35" s="266"/>
      <c r="M35" s="266"/>
      <c r="N35" s="266"/>
      <c r="O35" s="266">
        <v>170000</v>
      </c>
      <c r="P35" s="265">
        <f t="shared" ref="P35:P39" si="28">O35</f>
        <v>170000</v>
      </c>
      <c r="Q35" s="266"/>
      <c r="R35" s="269">
        <v>205000</v>
      </c>
      <c r="S35" s="266"/>
      <c r="T35" s="266"/>
      <c r="U35" s="265">
        <f t="shared" ref="U35:U40" si="29">T35</f>
        <v>0</v>
      </c>
      <c r="V35" s="266"/>
      <c r="W35" s="269"/>
      <c r="X35" s="266"/>
      <c r="Y35" s="268">
        <f t="shared" si="6"/>
        <v>170000</v>
      </c>
      <c r="Z35" s="428">
        <v>0</v>
      </c>
      <c r="AA35" s="428">
        <v>0</v>
      </c>
      <c r="AB35" s="430">
        <f t="shared" si="20"/>
        <v>-170000</v>
      </c>
      <c r="AC35" s="266">
        <f t="shared" si="7"/>
        <v>0</v>
      </c>
      <c r="AD35" s="266"/>
      <c r="AE35" s="268">
        <f t="shared" si="1"/>
        <v>0</v>
      </c>
      <c r="AF35" s="268"/>
      <c r="AG35" s="268">
        <f t="shared" si="8"/>
        <v>205000</v>
      </c>
      <c r="AH35" s="268"/>
      <c r="AI35" s="268">
        <v>0</v>
      </c>
      <c r="AJ35" s="268"/>
      <c r="AK35" s="268"/>
      <c r="AL35" s="268"/>
      <c r="AM35" s="268">
        <f t="shared" si="10"/>
        <v>0</v>
      </c>
      <c r="AN35" s="268">
        <f t="shared" si="11"/>
        <v>0</v>
      </c>
    </row>
    <row r="36" spans="1:40" s="296" customFormat="1">
      <c r="A36" s="262">
        <v>27</v>
      </c>
      <c r="B36" s="287" t="s">
        <v>52</v>
      </c>
      <c r="C36" s="262"/>
      <c r="D36" s="288">
        <v>50000</v>
      </c>
      <c r="E36" s="265"/>
      <c r="F36" s="265">
        <f t="shared" si="26"/>
        <v>0</v>
      </c>
      <c r="G36" s="265"/>
      <c r="H36" s="265"/>
      <c r="I36" s="265"/>
      <c r="J36" s="266"/>
      <c r="K36" s="265">
        <f t="shared" si="27"/>
        <v>0</v>
      </c>
      <c r="L36" s="266"/>
      <c r="M36" s="266"/>
      <c r="N36" s="266"/>
      <c r="O36" s="266">
        <v>50000</v>
      </c>
      <c r="P36" s="265">
        <v>252000</v>
      </c>
      <c r="Q36" s="266">
        <v>57410</v>
      </c>
      <c r="R36" s="269">
        <v>20000</v>
      </c>
      <c r="S36" s="266"/>
      <c r="T36" s="266"/>
      <c r="U36" s="265">
        <f t="shared" si="29"/>
        <v>0</v>
      </c>
      <c r="V36" s="266"/>
      <c r="W36" s="269"/>
      <c r="X36" s="266"/>
      <c r="Y36" s="268">
        <f t="shared" si="6"/>
        <v>50000</v>
      </c>
      <c r="Z36" s="428">
        <v>252000</v>
      </c>
      <c r="AA36" s="428">
        <v>252000</v>
      </c>
      <c r="AB36" s="430">
        <f t="shared" si="20"/>
        <v>-50000</v>
      </c>
      <c r="AC36" s="266">
        <f t="shared" si="7"/>
        <v>0</v>
      </c>
      <c r="AD36" s="266"/>
      <c r="AE36" s="268">
        <f t="shared" si="1"/>
        <v>0</v>
      </c>
      <c r="AF36" s="268"/>
      <c r="AG36" s="268">
        <f t="shared" si="8"/>
        <v>20000</v>
      </c>
      <c r="AH36" s="268"/>
      <c r="AI36" s="268">
        <v>0</v>
      </c>
      <c r="AJ36" s="268"/>
      <c r="AK36" s="268">
        <v>58112</v>
      </c>
      <c r="AL36" s="268"/>
      <c r="AM36" s="268">
        <f t="shared" si="10"/>
        <v>58112</v>
      </c>
      <c r="AN36" s="268">
        <f t="shared" si="11"/>
        <v>-58112</v>
      </c>
    </row>
    <row r="37" spans="1:40" s="296" customFormat="1">
      <c r="A37" s="262"/>
      <c r="B37" s="287" t="s">
        <v>807</v>
      </c>
      <c r="C37" s="262"/>
      <c r="D37" s="288"/>
      <c r="E37" s="265"/>
      <c r="F37" s="265"/>
      <c r="G37" s="265"/>
      <c r="H37" s="265"/>
      <c r="I37" s="265"/>
      <c r="J37" s="266"/>
      <c r="K37" s="265"/>
      <c r="L37" s="266"/>
      <c r="M37" s="266"/>
      <c r="N37" s="266"/>
      <c r="O37" s="266"/>
      <c r="P37" s="265"/>
      <c r="Q37" s="266"/>
      <c r="R37" s="269">
        <v>300000</v>
      </c>
      <c r="S37" s="266"/>
      <c r="T37" s="266"/>
      <c r="U37" s="265"/>
      <c r="V37" s="266"/>
      <c r="W37" s="269"/>
      <c r="X37" s="266"/>
      <c r="Y37" s="268"/>
      <c r="Z37" s="428"/>
      <c r="AA37" s="428"/>
      <c r="AB37" s="430"/>
      <c r="AC37" s="266"/>
      <c r="AD37" s="266"/>
      <c r="AE37" s="268"/>
      <c r="AF37" s="268"/>
      <c r="AG37" s="268">
        <f t="shared" si="8"/>
        <v>300000</v>
      </c>
      <c r="AH37" s="268"/>
      <c r="AI37" s="268">
        <v>0</v>
      </c>
      <c r="AJ37" s="268"/>
      <c r="AK37" s="268"/>
      <c r="AL37" s="268"/>
      <c r="AM37" s="268">
        <f t="shared" si="10"/>
        <v>0</v>
      </c>
      <c r="AN37" s="268">
        <f t="shared" si="11"/>
        <v>0</v>
      </c>
    </row>
    <row r="38" spans="1:40" s="296" customFormat="1">
      <c r="A38" s="262">
        <v>28</v>
      </c>
      <c r="B38" s="287" t="s">
        <v>53</v>
      </c>
      <c r="C38" s="262"/>
      <c r="D38" s="288">
        <v>50000</v>
      </c>
      <c r="E38" s="265"/>
      <c r="F38" s="265">
        <f t="shared" si="26"/>
        <v>0</v>
      </c>
      <c r="G38" s="265"/>
      <c r="H38" s="265"/>
      <c r="I38" s="265"/>
      <c r="J38" s="266"/>
      <c r="K38" s="265">
        <f t="shared" si="27"/>
        <v>0</v>
      </c>
      <c r="L38" s="266"/>
      <c r="M38" s="266"/>
      <c r="N38" s="266"/>
      <c r="O38" s="266">
        <v>50000</v>
      </c>
      <c r="P38" s="265">
        <v>200000</v>
      </c>
      <c r="Q38" s="266">
        <v>42350</v>
      </c>
      <c r="R38" s="269">
        <v>50000</v>
      </c>
      <c r="S38" s="266"/>
      <c r="T38" s="266"/>
      <c r="U38" s="265">
        <f t="shared" si="29"/>
        <v>0</v>
      </c>
      <c r="V38" s="266"/>
      <c r="W38" s="269"/>
      <c r="X38" s="266"/>
      <c r="Y38" s="268">
        <f t="shared" si="6"/>
        <v>50000</v>
      </c>
      <c r="Z38" s="428">
        <v>200000</v>
      </c>
      <c r="AA38" s="428">
        <v>200000</v>
      </c>
      <c r="AB38" s="430">
        <f>AD38-Y38</f>
        <v>-50000</v>
      </c>
      <c r="AC38" s="266">
        <f t="shared" si="7"/>
        <v>0</v>
      </c>
      <c r="AD38" s="266"/>
      <c r="AE38" s="268">
        <f t="shared" ref="AE38:AE101" si="30">SUM(I38,N38,S38,X38)</f>
        <v>0</v>
      </c>
      <c r="AF38" s="268"/>
      <c r="AG38" s="268">
        <f t="shared" si="8"/>
        <v>50000</v>
      </c>
      <c r="AH38" s="268"/>
      <c r="AI38" s="268">
        <v>0</v>
      </c>
      <c r="AJ38" s="268"/>
      <c r="AK38" s="268"/>
      <c r="AL38" s="268"/>
      <c r="AM38" s="268">
        <f t="shared" si="10"/>
        <v>0</v>
      </c>
      <c r="AN38" s="268">
        <f t="shared" si="11"/>
        <v>0</v>
      </c>
    </row>
    <row r="39" spans="1:40" s="296" customFormat="1">
      <c r="A39" s="262">
        <v>29</v>
      </c>
      <c r="B39" s="287" t="s">
        <v>954</v>
      </c>
      <c r="C39" s="262"/>
      <c r="D39" s="288">
        <v>50000</v>
      </c>
      <c r="E39" s="265"/>
      <c r="F39" s="265">
        <f t="shared" si="26"/>
        <v>0</v>
      </c>
      <c r="G39" s="265"/>
      <c r="H39" s="265"/>
      <c r="I39" s="265"/>
      <c r="J39" s="266"/>
      <c r="K39" s="265">
        <f t="shared" si="27"/>
        <v>0</v>
      </c>
      <c r="L39" s="266"/>
      <c r="M39" s="266"/>
      <c r="N39" s="266"/>
      <c r="O39" s="266">
        <v>50000</v>
      </c>
      <c r="P39" s="265">
        <f t="shared" si="28"/>
        <v>50000</v>
      </c>
      <c r="Q39" s="266"/>
      <c r="R39" s="269">
        <v>30000</v>
      </c>
      <c r="S39" s="266"/>
      <c r="T39" s="266"/>
      <c r="U39" s="265">
        <f t="shared" si="29"/>
        <v>0</v>
      </c>
      <c r="V39" s="266"/>
      <c r="W39" s="269"/>
      <c r="X39" s="266"/>
      <c r="Y39" s="268">
        <f t="shared" si="6"/>
        <v>50000</v>
      </c>
      <c r="Z39" s="428">
        <v>0</v>
      </c>
      <c r="AA39" s="428">
        <v>0</v>
      </c>
      <c r="AB39" s="430">
        <f>AD39-Y39</f>
        <v>-50000</v>
      </c>
      <c r="AC39" s="266">
        <f t="shared" si="7"/>
        <v>0</v>
      </c>
      <c r="AD39" s="266"/>
      <c r="AE39" s="268">
        <f t="shared" si="30"/>
        <v>0</v>
      </c>
      <c r="AF39" s="268"/>
      <c r="AG39" s="268">
        <f t="shared" si="8"/>
        <v>30000</v>
      </c>
      <c r="AH39" s="268"/>
      <c r="AI39" s="268">
        <v>0</v>
      </c>
      <c r="AJ39" s="268"/>
      <c r="AK39" s="268">
        <v>8882</v>
      </c>
      <c r="AL39" s="268"/>
      <c r="AM39" s="268">
        <f t="shared" si="10"/>
        <v>8882</v>
      </c>
      <c r="AN39" s="268">
        <f t="shared" si="11"/>
        <v>-8882</v>
      </c>
    </row>
    <row r="40" spans="1:40" s="296" customFormat="1">
      <c r="A40" s="262">
        <v>30</v>
      </c>
      <c r="B40" s="287" t="s">
        <v>54</v>
      </c>
      <c r="C40" s="262"/>
      <c r="D40" s="288">
        <v>400000</v>
      </c>
      <c r="E40" s="265"/>
      <c r="F40" s="265">
        <f t="shared" si="26"/>
        <v>0</v>
      </c>
      <c r="G40" s="265"/>
      <c r="H40" s="265"/>
      <c r="I40" s="265"/>
      <c r="J40" s="266"/>
      <c r="K40" s="265">
        <f t="shared" si="27"/>
        <v>0</v>
      </c>
      <c r="L40" s="266"/>
      <c r="M40" s="266"/>
      <c r="N40" s="266"/>
      <c r="O40" s="266">
        <v>400000</v>
      </c>
      <c r="P40" s="265">
        <v>200000</v>
      </c>
      <c r="Q40" s="266">
        <v>204377</v>
      </c>
      <c r="R40" s="269">
        <v>400000</v>
      </c>
      <c r="S40" s="266"/>
      <c r="T40" s="266"/>
      <c r="U40" s="265">
        <f t="shared" si="29"/>
        <v>0</v>
      </c>
      <c r="V40" s="266"/>
      <c r="W40" s="269"/>
      <c r="X40" s="266"/>
      <c r="Y40" s="268">
        <f t="shared" si="6"/>
        <v>400000</v>
      </c>
      <c r="Z40" s="428">
        <v>200000</v>
      </c>
      <c r="AA40" s="428">
        <v>200000</v>
      </c>
      <c r="AB40" s="430">
        <f>AD40-Y40</f>
        <v>-400000</v>
      </c>
      <c r="AC40" s="266">
        <f t="shared" si="7"/>
        <v>0</v>
      </c>
      <c r="AD40" s="266"/>
      <c r="AE40" s="268">
        <f t="shared" si="30"/>
        <v>0</v>
      </c>
      <c r="AF40" s="268"/>
      <c r="AG40" s="268">
        <f t="shared" si="8"/>
        <v>400000</v>
      </c>
      <c r="AH40" s="268"/>
      <c r="AI40" s="268">
        <v>0</v>
      </c>
      <c r="AJ40" s="268"/>
      <c r="AK40" s="268">
        <v>43355</v>
      </c>
      <c r="AL40" s="268"/>
      <c r="AM40" s="268">
        <f t="shared" si="10"/>
        <v>43355</v>
      </c>
      <c r="AN40" s="268">
        <f t="shared" si="11"/>
        <v>-43355</v>
      </c>
    </row>
    <row r="41" spans="1:40" s="277" customFormat="1">
      <c r="A41" s="289">
        <v>31</v>
      </c>
      <c r="B41" s="290" t="s">
        <v>55</v>
      </c>
      <c r="C41" s="289" t="s">
        <v>56</v>
      </c>
      <c r="D41" s="291">
        <f>SUM(D28,D33)</f>
        <v>870000</v>
      </c>
      <c r="E41" s="291">
        <f t="shared" ref="E41:X41" si="31">SUM(E28,E33)</f>
        <v>0</v>
      </c>
      <c r="F41" s="291">
        <f t="shared" si="31"/>
        <v>0</v>
      </c>
      <c r="G41" s="291">
        <f t="shared" si="31"/>
        <v>3923</v>
      </c>
      <c r="H41" s="291">
        <f>SUM(H33,H28)</f>
        <v>0</v>
      </c>
      <c r="I41" s="291">
        <f t="shared" si="31"/>
        <v>0</v>
      </c>
      <c r="J41" s="291">
        <f t="shared" si="31"/>
        <v>0</v>
      </c>
      <c r="K41" s="291">
        <f t="shared" si="31"/>
        <v>0</v>
      </c>
      <c r="L41" s="291">
        <f t="shared" si="31"/>
        <v>0</v>
      </c>
      <c r="M41" s="291"/>
      <c r="N41" s="291">
        <f t="shared" si="31"/>
        <v>0</v>
      </c>
      <c r="O41" s="291">
        <f t="shared" si="31"/>
        <v>870000</v>
      </c>
      <c r="P41" s="291">
        <f t="shared" si="31"/>
        <v>1157000</v>
      </c>
      <c r="Q41" s="291">
        <f t="shared" si="31"/>
        <v>318499</v>
      </c>
      <c r="R41" s="291">
        <f>SUM(R28,R33)</f>
        <v>1215000</v>
      </c>
      <c r="S41" s="291">
        <f>SUM(S28:S33)</f>
        <v>328231</v>
      </c>
      <c r="T41" s="291">
        <f t="shared" si="31"/>
        <v>0</v>
      </c>
      <c r="U41" s="291">
        <f t="shared" si="31"/>
        <v>0</v>
      </c>
      <c r="V41" s="291">
        <f t="shared" si="31"/>
        <v>0</v>
      </c>
      <c r="W41" s="292"/>
      <c r="X41" s="291">
        <f t="shared" si="31"/>
        <v>0</v>
      </c>
      <c r="Y41" s="276">
        <f>SUM(Y28,Y33)</f>
        <v>870000</v>
      </c>
      <c r="Z41" s="276">
        <f t="shared" ref="Z41:AD41" si="32">SUM(Z28,Z33)</f>
        <v>937000</v>
      </c>
      <c r="AA41" s="276">
        <f t="shared" si="32"/>
        <v>937000</v>
      </c>
      <c r="AB41" s="276">
        <f t="shared" si="32"/>
        <v>-135000</v>
      </c>
      <c r="AC41" s="276">
        <f t="shared" si="32"/>
        <v>735000</v>
      </c>
      <c r="AD41" s="276">
        <f t="shared" si="32"/>
        <v>735000</v>
      </c>
      <c r="AE41" s="276">
        <f t="shared" si="30"/>
        <v>328231</v>
      </c>
      <c r="AF41" s="276">
        <f>AF33+AF28</f>
        <v>769676</v>
      </c>
      <c r="AG41" s="276">
        <f t="shared" si="8"/>
        <v>1215000</v>
      </c>
      <c r="AH41" s="276">
        <f>AH28+AH33</f>
        <v>929816</v>
      </c>
      <c r="AI41" s="276">
        <f>SUM(AI28:AI40)</f>
        <v>0</v>
      </c>
      <c r="AJ41" s="276">
        <f>SUM(AJ28:AJ40)</f>
        <v>0</v>
      </c>
      <c r="AK41" s="276">
        <f>AK28+AK33</f>
        <v>147853</v>
      </c>
      <c r="AL41" s="276">
        <f>SUM(AL28:AL40)</f>
        <v>0</v>
      </c>
      <c r="AM41" s="276">
        <f t="shared" si="10"/>
        <v>147853</v>
      </c>
      <c r="AN41" s="276">
        <f t="shared" si="11"/>
        <v>781963</v>
      </c>
    </row>
    <row r="42" spans="1:40" s="296" customFormat="1">
      <c r="A42" s="278">
        <v>32</v>
      </c>
      <c r="B42" s="279" t="s">
        <v>57</v>
      </c>
      <c r="C42" s="278" t="s">
        <v>58</v>
      </c>
      <c r="D42" s="286">
        <f t="shared" ref="D42:V42" si="33">D43</f>
        <v>120000</v>
      </c>
      <c r="E42" s="281">
        <f t="shared" si="33"/>
        <v>0</v>
      </c>
      <c r="F42" s="281">
        <f t="shared" si="33"/>
        <v>0</v>
      </c>
      <c r="G42" s="281">
        <f t="shared" si="33"/>
        <v>0</v>
      </c>
      <c r="H42" s="281"/>
      <c r="I42" s="281"/>
      <c r="J42" s="281">
        <f t="shared" si="33"/>
        <v>0</v>
      </c>
      <c r="K42" s="281">
        <f t="shared" si="33"/>
        <v>0</v>
      </c>
      <c r="L42" s="281">
        <f t="shared" si="33"/>
        <v>0</v>
      </c>
      <c r="M42" s="281"/>
      <c r="N42" s="281"/>
      <c r="O42" s="281">
        <f t="shared" si="33"/>
        <v>120000</v>
      </c>
      <c r="P42" s="281">
        <f>P43</f>
        <v>78000</v>
      </c>
      <c r="Q42" s="281">
        <f t="shared" si="33"/>
        <v>92760</v>
      </c>
      <c r="R42" s="281">
        <v>100000</v>
      </c>
      <c r="S42" s="262">
        <v>154367</v>
      </c>
      <c r="T42" s="281">
        <f t="shared" si="33"/>
        <v>0</v>
      </c>
      <c r="U42" s="281">
        <f t="shared" si="33"/>
        <v>0</v>
      </c>
      <c r="V42" s="281">
        <f t="shared" si="33"/>
        <v>0</v>
      </c>
      <c r="W42" s="267"/>
      <c r="X42" s="281"/>
      <c r="Y42" s="268">
        <f t="shared" si="6"/>
        <v>120000</v>
      </c>
      <c r="Z42" s="428">
        <v>78000</v>
      </c>
      <c r="AA42" s="428">
        <v>78000</v>
      </c>
      <c r="AB42" s="430">
        <f>AD42-Y42</f>
        <v>56000</v>
      </c>
      <c r="AC42" s="266">
        <f t="shared" si="7"/>
        <v>176000</v>
      </c>
      <c r="AD42" s="542">
        <v>176000</v>
      </c>
      <c r="AE42" s="268">
        <f t="shared" si="30"/>
        <v>154367</v>
      </c>
      <c r="AF42" s="268">
        <v>167567</v>
      </c>
      <c r="AG42" s="268">
        <f t="shared" si="8"/>
        <v>100000</v>
      </c>
      <c r="AH42" s="268">
        <f t="shared" si="9"/>
        <v>100000</v>
      </c>
      <c r="AI42" s="268">
        <v>0</v>
      </c>
      <c r="AJ42" s="268"/>
      <c r="AK42" s="268">
        <v>33000</v>
      </c>
      <c r="AL42" s="268"/>
      <c r="AM42" s="268">
        <f t="shared" si="10"/>
        <v>33000</v>
      </c>
      <c r="AN42" s="268">
        <f t="shared" si="11"/>
        <v>67000</v>
      </c>
    </row>
    <row r="43" spans="1:40" s="296" customFormat="1" ht="15.75" hidden="1" customHeight="1">
      <c r="A43" s="262">
        <v>33</v>
      </c>
      <c r="B43" s="293" t="s">
        <v>435</v>
      </c>
      <c r="C43" s="262"/>
      <c r="D43" s="264">
        <v>120000</v>
      </c>
      <c r="E43" s="265"/>
      <c r="F43" s="265"/>
      <c r="G43" s="265"/>
      <c r="H43" s="265"/>
      <c r="I43" s="265"/>
      <c r="J43" s="266"/>
      <c r="K43" s="265"/>
      <c r="L43" s="266"/>
      <c r="M43" s="266"/>
      <c r="N43" s="266"/>
      <c r="O43" s="266">
        <v>120000</v>
      </c>
      <c r="P43" s="265">
        <v>78000</v>
      </c>
      <c r="Q43" s="266">
        <v>92760</v>
      </c>
      <c r="R43" s="266"/>
      <c r="S43" s="266"/>
      <c r="T43" s="266"/>
      <c r="U43" s="265"/>
      <c r="V43" s="266"/>
      <c r="W43" s="269"/>
      <c r="X43" s="266"/>
      <c r="Y43" s="268">
        <f t="shared" si="6"/>
        <v>120000</v>
      </c>
      <c r="Z43" s="428">
        <v>78000</v>
      </c>
      <c r="AA43" s="428">
        <v>78000</v>
      </c>
      <c r="AB43" s="430">
        <f>AD43-Y43</f>
        <v>-120000</v>
      </c>
      <c r="AC43" s="266">
        <f t="shared" si="7"/>
        <v>0</v>
      </c>
      <c r="AD43" s="266"/>
      <c r="AE43" s="268">
        <f t="shared" si="30"/>
        <v>0</v>
      </c>
      <c r="AF43" s="268"/>
      <c r="AG43" s="268">
        <f t="shared" si="8"/>
        <v>0</v>
      </c>
      <c r="AH43" s="268">
        <f t="shared" si="9"/>
        <v>0</v>
      </c>
      <c r="AI43" s="268"/>
      <c r="AJ43" s="268"/>
      <c r="AK43" s="268"/>
      <c r="AL43" s="268"/>
      <c r="AM43" s="268">
        <f t="shared" si="10"/>
        <v>0</v>
      </c>
      <c r="AN43" s="268">
        <f t="shared" si="11"/>
        <v>0</v>
      </c>
    </row>
    <row r="44" spans="1:40" s="296" customFormat="1">
      <c r="A44" s="278">
        <v>34</v>
      </c>
      <c r="B44" s="279" t="s">
        <v>59</v>
      </c>
      <c r="C44" s="278" t="s">
        <v>60</v>
      </c>
      <c r="D44" s="286">
        <f t="shared" ref="D44:V44" si="34">SUM(D45:D46)</f>
        <v>130000</v>
      </c>
      <c r="E44" s="281">
        <f t="shared" si="34"/>
        <v>0</v>
      </c>
      <c r="F44" s="281">
        <f t="shared" si="34"/>
        <v>0</v>
      </c>
      <c r="G44" s="281">
        <f t="shared" si="34"/>
        <v>0</v>
      </c>
      <c r="H44" s="281"/>
      <c r="I44" s="281"/>
      <c r="J44" s="281">
        <f t="shared" si="34"/>
        <v>0</v>
      </c>
      <c r="K44" s="281">
        <f t="shared" si="34"/>
        <v>0</v>
      </c>
      <c r="L44" s="281">
        <f t="shared" si="34"/>
        <v>0</v>
      </c>
      <c r="M44" s="281"/>
      <c r="N44" s="281"/>
      <c r="O44" s="281">
        <f t="shared" si="34"/>
        <v>130000</v>
      </c>
      <c r="P44" s="281">
        <f t="shared" si="34"/>
        <v>156000</v>
      </c>
      <c r="Q44" s="281">
        <f t="shared" si="34"/>
        <v>110113</v>
      </c>
      <c r="R44" s="281">
        <v>100000</v>
      </c>
      <c r="S44" s="262">
        <v>70916</v>
      </c>
      <c r="T44" s="281">
        <f t="shared" si="34"/>
        <v>0</v>
      </c>
      <c r="U44" s="281">
        <f t="shared" si="34"/>
        <v>0</v>
      </c>
      <c r="V44" s="281">
        <f t="shared" si="34"/>
        <v>0</v>
      </c>
      <c r="W44" s="267"/>
      <c r="X44" s="281"/>
      <c r="Y44" s="268">
        <f t="shared" si="6"/>
        <v>130000</v>
      </c>
      <c r="Z44" s="428">
        <v>156000</v>
      </c>
      <c r="AA44" s="428">
        <v>156000</v>
      </c>
      <c r="AB44" s="430">
        <f>AD44-Y44</f>
        <v>0</v>
      </c>
      <c r="AC44" s="266">
        <f t="shared" si="7"/>
        <v>130000</v>
      </c>
      <c r="AD44" s="542">
        <v>130000</v>
      </c>
      <c r="AE44" s="268">
        <f t="shared" si="30"/>
        <v>70916</v>
      </c>
      <c r="AF44" s="268">
        <v>90103</v>
      </c>
      <c r="AG44" s="268">
        <f t="shared" si="8"/>
        <v>100000</v>
      </c>
      <c r="AH44" s="268">
        <f t="shared" si="9"/>
        <v>100000</v>
      </c>
      <c r="AI44" s="268"/>
      <c r="AJ44" s="268"/>
      <c r="AK44" s="268">
        <v>47955</v>
      </c>
      <c r="AL44" s="268"/>
      <c r="AM44" s="268">
        <f t="shared" si="10"/>
        <v>47955</v>
      </c>
      <c r="AN44" s="268">
        <f t="shared" si="11"/>
        <v>52045</v>
      </c>
    </row>
    <row r="45" spans="1:40" s="296" customFormat="1" ht="15.75" hidden="1" customHeight="1">
      <c r="A45" s="262">
        <v>35</v>
      </c>
      <c r="B45" s="287" t="s">
        <v>436</v>
      </c>
      <c r="C45" s="262"/>
      <c r="D45" s="264">
        <v>130000</v>
      </c>
      <c r="E45" s="265"/>
      <c r="F45" s="265"/>
      <c r="G45" s="265"/>
      <c r="H45" s="265"/>
      <c r="I45" s="265"/>
      <c r="J45" s="266"/>
      <c r="K45" s="265"/>
      <c r="L45" s="266"/>
      <c r="M45" s="266"/>
      <c r="N45" s="266"/>
      <c r="O45" s="266">
        <v>130000</v>
      </c>
      <c r="P45" s="265">
        <v>156000</v>
      </c>
      <c r="Q45" s="266">
        <v>110113</v>
      </c>
      <c r="R45" s="266"/>
      <c r="S45" s="266"/>
      <c r="T45" s="266"/>
      <c r="U45" s="265"/>
      <c r="V45" s="266"/>
      <c r="W45" s="269"/>
      <c r="X45" s="266"/>
      <c r="Y45" s="268">
        <f t="shared" si="6"/>
        <v>130000</v>
      </c>
      <c r="Z45" s="428">
        <v>156000</v>
      </c>
      <c r="AA45" s="428">
        <v>156000</v>
      </c>
      <c r="AB45" s="430">
        <f>AD45-Y45</f>
        <v>-130000</v>
      </c>
      <c r="AC45" s="266">
        <f t="shared" si="7"/>
        <v>0</v>
      </c>
      <c r="AD45" s="266"/>
      <c r="AE45" s="268">
        <f t="shared" si="30"/>
        <v>0</v>
      </c>
      <c r="AF45" s="268"/>
      <c r="AG45" s="268">
        <f t="shared" si="8"/>
        <v>0</v>
      </c>
      <c r="AH45" s="268">
        <f t="shared" si="9"/>
        <v>0</v>
      </c>
      <c r="AI45" s="268"/>
      <c r="AJ45" s="268"/>
      <c r="AK45" s="268"/>
      <c r="AL45" s="268"/>
      <c r="AM45" s="268">
        <f t="shared" si="10"/>
        <v>0</v>
      </c>
      <c r="AN45" s="268">
        <f t="shared" si="11"/>
        <v>0</v>
      </c>
    </row>
    <row r="46" spans="1:40" s="296" customFormat="1" ht="15.75" hidden="1" customHeight="1">
      <c r="A46" s="262">
        <v>36</v>
      </c>
      <c r="B46" s="287"/>
      <c r="C46" s="262"/>
      <c r="D46" s="264"/>
      <c r="E46" s="265"/>
      <c r="F46" s="265"/>
      <c r="G46" s="265"/>
      <c r="H46" s="265"/>
      <c r="I46" s="265"/>
      <c r="J46" s="266"/>
      <c r="K46" s="265"/>
      <c r="L46" s="266"/>
      <c r="M46" s="266"/>
      <c r="N46" s="266"/>
      <c r="O46" s="266"/>
      <c r="P46" s="265"/>
      <c r="Q46" s="266"/>
      <c r="R46" s="266"/>
      <c r="S46" s="266"/>
      <c r="T46" s="266"/>
      <c r="U46" s="265"/>
      <c r="V46" s="266"/>
      <c r="W46" s="269"/>
      <c r="X46" s="266"/>
      <c r="Y46" s="268">
        <f t="shared" si="6"/>
        <v>0</v>
      </c>
      <c r="Z46" s="428">
        <v>0</v>
      </c>
      <c r="AA46" s="428">
        <v>0</v>
      </c>
      <c r="AB46" s="430">
        <f>AD46-Y46</f>
        <v>0</v>
      </c>
      <c r="AC46" s="266">
        <f t="shared" si="7"/>
        <v>0</v>
      </c>
      <c r="AD46" s="266"/>
      <c r="AE46" s="268">
        <f t="shared" si="30"/>
        <v>0</v>
      </c>
      <c r="AF46" s="268"/>
      <c r="AG46" s="268">
        <f t="shared" si="8"/>
        <v>0</v>
      </c>
      <c r="AH46" s="268">
        <f t="shared" si="9"/>
        <v>0</v>
      </c>
      <c r="AI46" s="268"/>
      <c r="AJ46" s="268"/>
      <c r="AK46" s="268"/>
      <c r="AL46" s="268"/>
      <c r="AM46" s="268">
        <f t="shared" si="10"/>
        <v>0</v>
      </c>
      <c r="AN46" s="268">
        <f t="shared" si="11"/>
        <v>0</v>
      </c>
    </row>
    <row r="47" spans="1:40" s="277" customFormat="1">
      <c r="A47" s="289">
        <v>37</v>
      </c>
      <c r="B47" s="290" t="s">
        <v>62</v>
      </c>
      <c r="C47" s="289" t="s">
        <v>63</v>
      </c>
      <c r="D47" s="291">
        <f>SUM(D42,D44)</f>
        <v>250000</v>
      </c>
      <c r="E47" s="291">
        <f t="shared" ref="E47:X47" si="35">SUM(E42,E44)</f>
        <v>0</v>
      </c>
      <c r="F47" s="291">
        <f t="shared" si="35"/>
        <v>0</v>
      </c>
      <c r="G47" s="291">
        <f t="shared" si="35"/>
        <v>0</v>
      </c>
      <c r="H47" s="291">
        <f>SUM(H42:H44)</f>
        <v>0</v>
      </c>
      <c r="I47" s="291">
        <f t="shared" si="35"/>
        <v>0</v>
      </c>
      <c r="J47" s="291">
        <f t="shared" si="35"/>
        <v>0</v>
      </c>
      <c r="K47" s="291">
        <f t="shared" si="35"/>
        <v>0</v>
      </c>
      <c r="L47" s="291">
        <f t="shared" si="35"/>
        <v>0</v>
      </c>
      <c r="M47" s="291"/>
      <c r="N47" s="291">
        <f t="shared" si="35"/>
        <v>0</v>
      </c>
      <c r="O47" s="291">
        <f t="shared" si="35"/>
        <v>250000</v>
      </c>
      <c r="P47" s="291">
        <f t="shared" si="35"/>
        <v>234000</v>
      </c>
      <c r="Q47" s="291">
        <f t="shared" si="35"/>
        <v>202873</v>
      </c>
      <c r="R47" s="291">
        <f>R42+R44</f>
        <v>200000</v>
      </c>
      <c r="S47" s="291">
        <f>SUM(S42:S44)</f>
        <v>225283</v>
      </c>
      <c r="T47" s="291">
        <f t="shared" si="35"/>
        <v>0</v>
      </c>
      <c r="U47" s="291">
        <f t="shared" si="35"/>
        <v>0</v>
      </c>
      <c r="V47" s="291">
        <f t="shared" si="35"/>
        <v>0</v>
      </c>
      <c r="W47" s="292"/>
      <c r="X47" s="291">
        <f t="shared" si="35"/>
        <v>0</v>
      </c>
      <c r="Y47" s="276">
        <f>SUM(Y42,Y44)</f>
        <v>250000</v>
      </c>
      <c r="Z47" s="276">
        <f t="shared" ref="Z47:AD47" si="36">SUM(Z42,Z44)</f>
        <v>234000</v>
      </c>
      <c r="AA47" s="276">
        <f t="shared" si="36"/>
        <v>234000</v>
      </c>
      <c r="AB47" s="276">
        <f t="shared" si="36"/>
        <v>56000</v>
      </c>
      <c r="AC47" s="276">
        <f t="shared" si="36"/>
        <v>306000</v>
      </c>
      <c r="AD47" s="276">
        <f t="shared" si="36"/>
        <v>306000</v>
      </c>
      <c r="AE47" s="276">
        <f t="shared" si="30"/>
        <v>225283</v>
      </c>
      <c r="AF47" s="276">
        <f>AF42+AF44</f>
        <v>257670</v>
      </c>
      <c r="AG47" s="276">
        <f t="shared" si="8"/>
        <v>200000</v>
      </c>
      <c r="AH47" s="276">
        <f>AH42+AH44</f>
        <v>200000</v>
      </c>
      <c r="AI47" s="276">
        <f>SUM(AI42:AI44)</f>
        <v>0</v>
      </c>
      <c r="AJ47" s="276">
        <f>SUM(AJ42:AJ44)</f>
        <v>0</v>
      </c>
      <c r="AK47" s="276">
        <f>SUM(AK42:AK44)</f>
        <v>80955</v>
      </c>
      <c r="AL47" s="276">
        <f>SUM(AL42:AL44)</f>
        <v>0</v>
      </c>
      <c r="AM47" s="276">
        <f t="shared" si="10"/>
        <v>80955</v>
      </c>
      <c r="AN47" s="276">
        <f t="shared" si="11"/>
        <v>119045</v>
      </c>
    </row>
    <row r="48" spans="1:40" s="296" customFormat="1">
      <c r="A48" s="278">
        <v>38</v>
      </c>
      <c r="B48" s="279" t="s">
        <v>64</v>
      </c>
      <c r="C48" s="278" t="s">
        <v>65</v>
      </c>
      <c r="D48" s="286">
        <f>SUM(D49:D51)</f>
        <v>1750000</v>
      </c>
      <c r="E48" s="281">
        <f t="shared" ref="E48:V48" si="37">SUM(E49:E51)</f>
        <v>0</v>
      </c>
      <c r="F48" s="281">
        <f t="shared" si="37"/>
        <v>0</v>
      </c>
      <c r="G48" s="281">
        <f t="shared" si="37"/>
        <v>0</v>
      </c>
      <c r="H48" s="281"/>
      <c r="I48" s="281"/>
      <c r="J48" s="281">
        <f t="shared" si="37"/>
        <v>0</v>
      </c>
      <c r="K48" s="281">
        <f t="shared" si="37"/>
        <v>0</v>
      </c>
      <c r="L48" s="281">
        <f t="shared" si="37"/>
        <v>0</v>
      </c>
      <c r="M48" s="281"/>
      <c r="N48" s="281"/>
      <c r="O48" s="281">
        <f t="shared" si="37"/>
        <v>1750000</v>
      </c>
      <c r="P48" s="281">
        <f t="shared" si="37"/>
        <v>2680000</v>
      </c>
      <c r="Q48" s="281">
        <f t="shared" si="37"/>
        <v>1340313</v>
      </c>
      <c r="R48" s="281">
        <v>2200000</v>
      </c>
      <c r="S48" s="262">
        <v>1532265</v>
      </c>
      <c r="T48" s="281">
        <f t="shared" si="37"/>
        <v>0</v>
      </c>
      <c r="U48" s="281">
        <f t="shared" si="37"/>
        <v>0</v>
      </c>
      <c r="V48" s="281">
        <f t="shared" si="37"/>
        <v>0</v>
      </c>
      <c r="W48" s="267"/>
      <c r="X48" s="281"/>
      <c r="Y48" s="268">
        <f t="shared" si="6"/>
        <v>1750000</v>
      </c>
      <c r="Z48" s="428">
        <v>2680000</v>
      </c>
      <c r="AA48" s="428">
        <v>2680000</v>
      </c>
      <c r="AB48" s="430">
        <f t="shared" ref="AB48:AB66" si="38">AD48-Y48</f>
        <v>-75000</v>
      </c>
      <c r="AC48" s="266">
        <f t="shared" si="7"/>
        <v>1675000</v>
      </c>
      <c r="AD48" s="542">
        <v>1675000</v>
      </c>
      <c r="AE48" s="268">
        <f t="shared" si="30"/>
        <v>1532265</v>
      </c>
      <c r="AF48" s="268">
        <v>1792256</v>
      </c>
      <c r="AG48" s="268">
        <f t="shared" si="8"/>
        <v>2200000</v>
      </c>
      <c r="AH48" s="268">
        <f t="shared" si="9"/>
        <v>2200000</v>
      </c>
      <c r="AI48" s="268">
        <v>0</v>
      </c>
      <c r="AJ48" s="268"/>
      <c r="AK48" s="268">
        <f>SUM(AK49:AK51)</f>
        <v>1413257</v>
      </c>
      <c r="AL48" s="268"/>
      <c r="AM48" s="268">
        <f t="shared" si="10"/>
        <v>1413257</v>
      </c>
      <c r="AN48" s="268">
        <f t="shared" si="11"/>
        <v>786743</v>
      </c>
    </row>
    <row r="49" spans="1:40" s="296" customFormat="1" ht="15.75" customHeight="1">
      <c r="A49" s="262">
        <v>39</v>
      </c>
      <c r="B49" s="293" t="s">
        <v>940</v>
      </c>
      <c r="C49" s="262"/>
      <c r="D49" s="294">
        <v>200000</v>
      </c>
      <c r="E49" s="265"/>
      <c r="F49" s="265">
        <f>E49</f>
        <v>0</v>
      </c>
      <c r="G49" s="265"/>
      <c r="H49" s="265"/>
      <c r="I49" s="265"/>
      <c r="J49" s="266"/>
      <c r="K49" s="265">
        <f>J49</f>
        <v>0</v>
      </c>
      <c r="L49" s="266"/>
      <c r="M49" s="266"/>
      <c r="N49" s="266"/>
      <c r="O49" s="266">
        <v>200000</v>
      </c>
      <c r="P49" s="265">
        <v>500000</v>
      </c>
      <c r="Q49" s="266">
        <v>146495</v>
      </c>
      <c r="R49" s="266"/>
      <c r="S49" s="266"/>
      <c r="T49" s="266"/>
      <c r="U49" s="265">
        <f>T49</f>
        <v>0</v>
      </c>
      <c r="V49" s="266"/>
      <c r="W49" s="269"/>
      <c r="X49" s="266"/>
      <c r="Y49" s="268">
        <f t="shared" si="6"/>
        <v>200000</v>
      </c>
      <c r="Z49" s="428">
        <v>500000</v>
      </c>
      <c r="AA49" s="428">
        <v>500000</v>
      </c>
      <c r="AB49" s="430">
        <f t="shared" si="38"/>
        <v>-200000</v>
      </c>
      <c r="AC49" s="266">
        <f t="shared" si="7"/>
        <v>0</v>
      </c>
      <c r="AD49" s="266"/>
      <c r="AE49" s="268">
        <f t="shared" si="30"/>
        <v>0</v>
      </c>
      <c r="AF49" s="268"/>
      <c r="AG49" s="268">
        <f t="shared" si="8"/>
        <v>0</v>
      </c>
      <c r="AH49" s="268">
        <f t="shared" si="9"/>
        <v>0</v>
      </c>
      <c r="AI49" s="268"/>
      <c r="AJ49" s="268"/>
      <c r="AK49" s="268">
        <v>68900</v>
      </c>
      <c r="AL49" s="268"/>
      <c r="AM49" s="268">
        <f t="shared" si="10"/>
        <v>68900</v>
      </c>
      <c r="AN49" s="268">
        <f t="shared" si="11"/>
        <v>-68900</v>
      </c>
    </row>
    <row r="50" spans="1:40" s="296" customFormat="1" ht="15.75" customHeight="1">
      <c r="A50" s="262">
        <v>40</v>
      </c>
      <c r="B50" s="293" t="s">
        <v>66</v>
      </c>
      <c r="C50" s="262"/>
      <c r="D50" s="294">
        <v>1200000</v>
      </c>
      <c r="E50" s="265"/>
      <c r="F50" s="265">
        <f t="shared" ref="F50:F51" si="39">E50</f>
        <v>0</v>
      </c>
      <c r="G50" s="265"/>
      <c r="H50" s="265"/>
      <c r="I50" s="265"/>
      <c r="J50" s="266"/>
      <c r="K50" s="265">
        <f t="shared" ref="K50:K51" si="40">J50</f>
        <v>0</v>
      </c>
      <c r="L50" s="266"/>
      <c r="M50" s="266"/>
      <c r="N50" s="266"/>
      <c r="O50" s="266">
        <v>1200000</v>
      </c>
      <c r="P50" s="265">
        <v>1500000</v>
      </c>
      <c r="Q50" s="266">
        <v>957877</v>
      </c>
      <c r="R50" s="266"/>
      <c r="S50" s="266"/>
      <c r="T50" s="266"/>
      <c r="U50" s="265">
        <f t="shared" ref="U50:U51" si="41">T50</f>
        <v>0</v>
      </c>
      <c r="V50" s="266"/>
      <c r="W50" s="269"/>
      <c r="X50" s="266"/>
      <c r="Y50" s="268">
        <f t="shared" si="6"/>
        <v>1200000</v>
      </c>
      <c r="Z50" s="428">
        <v>1500000</v>
      </c>
      <c r="AA50" s="428">
        <v>1500000</v>
      </c>
      <c r="AB50" s="430">
        <f t="shared" si="38"/>
        <v>-1200000</v>
      </c>
      <c r="AC50" s="266">
        <f t="shared" si="7"/>
        <v>0</v>
      </c>
      <c r="AD50" s="266"/>
      <c r="AE50" s="268">
        <f t="shared" si="30"/>
        <v>0</v>
      </c>
      <c r="AF50" s="268"/>
      <c r="AG50" s="268">
        <f t="shared" si="8"/>
        <v>0</v>
      </c>
      <c r="AH50" s="268">
        <f t="shared" si="9"/>
        <v>0</v>
      </c>
      <c r="AI50" s="268"/>
      <c r="AJ50" s="268"/>
      <c r="AK50" s="268">
        <v>1182533</v>
      </c>
      <c r="AL50" s="268"/>
      <c r="AM50" s="268">
        <f t="shared" si="10"/>
        <v>1182533</v>
      </c>
      <c r="AN50" s="268">
        <f t="shared" si="11"/>
        <v>-1182533</v>
      </c>
    </row>
    <row r="51" spans="1:40" s="296" customFormat="1" ht="15.75" customHeight="1">
      <c r="A51" s="262">
        <v>41</v>
      </c>
      <c r="B51" s="293" t="s">
        <v>67</v>
      </c>
      <c r="C51" s="262"/>
      <c r="D51" s="294">
        <v>350000</v>
      </c>
      <c r="E51" s="265"/>
      <c r="F51" s="265">
        <f t="shared" si="39"/>
        <v>0</v>
      </c>
      <c r="G51" s="265"/>
      <c r="H51" s="265"/>
      <c r="I51" s="265"/>
      <c r="J51" s="266"/>
      <c r="K51" s="265">
        <f t="shared" si="40"/>
        <v>0</v>
      </c>
      <c r="L51" s="266"/>
      <c r="M51" s="266"/>
      <c r="N51" s="266"/>
      <c r="O51" s="266">
        <v>350000</v>
      </c>
      <c r="P51" s="265">
        <v>680000</v>
      </c>
      <c r="Q51" s="266">
        <v>235941</v>
      </c>
      <c r="R51" s="266"/>
      <c r="S51" s="266"/>
      <c r="T51" s="266"/>
      <c r="U51" s="265">
        <f t="shared" si="41"/>
        <v>0</v>
      </c>
      <c r="V51" s="266"/>
      <c r="W51" s="269"/>
      <c r="X51" s="266"/>
      <c r="Y51" s="268">
        <f t="shared" si="6"/>
        <v>350000</v>
      </c>
      <c r="Z51" s="428">
        <v>680000</v>
      </c>
      <c r="AA51" s="428">
        <v>680000</v>
      </c>
      <c r="AB51" s="430">
        <f t="shared" si="38"/>
        <v>-350000</v>
      </c>
      <c r="AC51" s="266">
        <f t="shared" si="7"/>
        <v>0</v>
      </c>
      <c r="AD51" s="266"/>
      <c r="AE51" s="268">
        <f t="shared" si="30"/>
        <v>0</v>
      </c>
      <c r="AF51" s="268"/>
      <c r="AG51" s="268">
        <f t="shared" si="8"/>
        <v>0</v>
      </c>
      <c r="AH51" s="268">
        <f t="shared" si="9"/>
        <v>0</v>
      </c>
      <c r="AI51" s="268"/>
      <c r="AJ51" s="268"/>
      <c r="AK51" s="268">
        <v>161824</v>
      </c>
      <c r="AL51" s="268"/>
      <c r="AM51" s="268">
        <f t="shared" si="10"/>
        <v>161824</v>
      </c>
      <c r="AN51" s="268">
        <f t="shared" si="11"/>
        <v>-161824</v>
      </c>
    </row>
    <row r="52" spans="1:40" s="296" customFormat="1" ht="15.75" customHeight="1">
      <c r="A52" s="278">
        <v>42</v>
      </c>
      <c r="B52" s="279" t="s">
        <v>68</v>
      </c>
      <c r="C52" s="278" t="s">
        <v>69</v>
      </c>
      <c r="D52" s="286">
        <f t="shared" ref="D52:V52" si="42">D53</f>
        <v>0</v>
      </c>
      <c r="E52" s="281">
        <f t="shared" si="42"/>
        <v>0</v>
      </c>
      <c r="F52" s="281">
        <f t="shared" si="42"/>
        <v>0</v>
      </c>
      <c r="G52" s="281">
        <f t="shared" si="42"/>
        <v>0</v>
      </c>
      <c r="H52" s="281"/>
      <c r="I52" s="281"/>
      <c r="J52" s="281">
        <f t="shared" si="42"/>
        <v>0</v>
      </c>
      <c r="K52" s="281">
        <f t="shared" si="42"/>
        <v>0</v>
      </c>
      <c r="L52" s="281">
        <f t="shared" si="42"/>
        <v>0</v>
      </c>
      <c r="M52" s="281"/>
      <c r="N52" s="281"/>
      <c r="O52" s="281">
        <f t="shared" si="42"/>
        <v>0</v>
      </c>
      <c r="P52" s="281">
        <f t="shared" si="42"/>
        <v>0</v>
      </c>
      <c r="Q52" s="281">
        <f t="shared" si="42"/>
        <v>0</v>
      </c>
      <c r="R52" s="281"/>
      <c r="S52" s="281"/>
      <c r="T52" s="281">
        <f t="shared" si="42"/>
        <v>0</v>
      </c>
      <c r="U52" s="281">
        <f t="shared" si="42"/>
        <v>0</v>
      </c>
      <c r="V52" s="281">
        <f t="shared" si="42"/>
        <v>0</v>
      </c>
      <c r="W52" s="267"/>
      <c r="X52" s="281"/>
      <c r="Y52" s="268">
        <f t="shared" si="6"/>
        <v>0</v>
      </c>
      <c r="Z52" s="428">
        <v>0</v>
      </c>
      <c r="AA52" s="428">
        <v>0</v>
      </c>
      <c r="AB52" s="430">
        <f t="shared" si="38"/>
        <v>0</v>
      </c>
      <c r="AC52" s="266">
        <f t="shared" si="7"/>
        <v>0</v>
      </c>
      <c r="AD52" s="266"/>
      <c r="AE52" s="268">
        <f t="shared" si="30"/>
        <v>0</v>
      </c>
      <c r="AF52" s="268"/>
      <c r="AG52" s="268">
        <f t="shared" si="8"/>
        <v>0</v>
      </c>
      <c r="AH52" s="268">
        <f t="shared" si="9"/>
        <v>0</v>
      </c>
      <c r="AI52" s="268"/>
      <c r="AJ52" s="268"/>
      <c r="AK52" s="268"/>
      <c r="AL52" s="268"/>
      <c r="AM52" s="268">
        <f t="shared" si="10"/>
        <v>0</v>
      </c>
      <c r="AN52" s="268">
        <f t="shared" si="11"/>
        <v>0</v>
      </c>
    </row>
    <row r="53" spans="1:40" s="296" customFormat="1" ht="15.75" customHeight="1">
      <c r="A53" s="262">
        <v>43</v>
      </c>
      <c r="B53" s="293" t="s">
        <v>70</v>
      </c>
      <c r="C53" s="262"/>
      <c r="D53" s="264"/>
      <c r="E53" s="265"/>
      <c r="F53" s="265">
        <f>E53</f>
        <v>0</v>
      </c>
      <c r="G53" s="265"/>
      <c r="H53" s="265"/>
      <c r="I53" s="265"/>
      <c r="J53" s="266"/>
      <c r="K53" s="265">
        <f>J53</f>
        <v>0</v>
      </c>
      <c r="L53" s="266"/>
      <c r="M53" s="266"/>
      <c r="N53" s="266"/>
      <c r="O53" s="266"/>
      <c r="P53" s="265">
        <f>O53</f>
        <v>0</v>
      </c>
      <c r="Q53" s="266"/>
      <c r="R53" s="266"/>
      <c r="S53" s="266"/>
      <c r="T53" s="266"/>
      <c r="U53" s="265">
        <f>T53</f>
        <v>0</v>
      </c>
      <c r="V53" s="266"/>
      <c r="W53" s="269"/>
      <c r="X53" s="266"/>
      <c r="Y53" s="268">
        <f t="shared" si="6"/>
        <v>0</v>
      </c>
      <c r="Z53" s="428">
        <v>0</v>
      </c>
      <c r="AA53" s="428">
        <v>0</v>
      </c>
      <c r="AB53" s="430">
        <f t="shared" si="38"/>
        <v>0</v>
      </c>
      <c r="AC53" s="266">
        <f t="shared" si="7"/>
        <v>0</v>
      </c>
      <c r="AD53" s="266"/>
      <c r="AE53" s="268">
        <f t="shared" si="30"/>
        <v>0</v>
      </c>
      <c r="AF53" s="268"/>
      <c r="AG53" s="268">
        <f t="shared" si="8"/>
        <v>0</v>
      </c>
      <c r="AH53" s="268">
        <f t="shared" si="9"/>
        <v>0</v>
      </c>
      <c r="AI53" s="268"/>
      <c r="AJ53" s="268"/>
      <c r="AK53" s="268"/>
      <c r="AL53" s="268"/>
      <c r="AM53" s="268">
        <f t="shared" si="10"/>
        <v>0</v>
      </c>
      <c r="AN53" s="268">
        <f t="shared" si="11"/>
        <v>0</v>
      </c>
    </row>
    <row r="54" spans="1:40" s="296" customFormat="1" ht="15.75" customHeight="1">
      <c r="A54" s="262">
        <v>44</v>
      </c>
      <c r="B54" s="263" t="s">
        <v>71</v>
      </c>
      <c r="C54" s="262" t="s">
        <v>72</v>
      </c>
      <c r="D54" s="264"/>
      <c r="E54" s="265"/>
      <c r="F54" s="265">
        <f t="shared" ref="F54:F56" si="43">E54</f>
        <v>0</v>
      </c>
      <c r="G54" s="265"/>
      <c r="H54" s="265"/>
      <c r="I54" s="265"/>
      <c r="J54" s="266"/>
      <c r="K54" s="265">
        <f t="shared" ref="K54:K56" si="44">J54</f>
        <v>0</v>
      </c>
      <c r="L54" s="266"/>
      <c r="M54" s="266"/>
      <c r="N54" s="266"/>
      <c r="O54" s="266"/>
      <c r="P54" s="265">
        <f t="shared" ref="P54:P56" si="45">O54</f>
        <v>0</v>
      </c>
      <c r="Q54" s="266"/>
      <c r="R54" s="266"/>
      <c r="S54" s="266"/>
      <c r="T54" s="266"/>
      <c r="U54" s="265">
        <f t="shared" ref="U54:U56" si="46">T54</f>
        <v>0</v>
      </c>
      <c r="V54" s="266"/>
      <c r="W54" s="269"/>
      <c r="X54" s="266"/>
      <c r="Y54" s="268">
        <f t="shared" si="6"/>
        <v>0</v>
      </c>
      <c r="Z54" s="428">
        <v>0</v>
      </c>
      <c r="AA54" s="428">
        <v>0</v>
      </c>
      <c r="AB54" s="430">
        <f t="shared" si="38"/>
        <v>0</v>
      </c>
      <c r="AC54" s="266">
        <f t="shared" si="7"/>
        <v>0</v>
      </c>
      <c r="AD54" s="266"/>
      <c r="AE54" s="268">
        <f t="shared" si="30"/>
        <v>0</v>
      </c>
      <c r="AF54" s="268"/>
      <c r="AG54" s="268">
        <f t="shared" si="8"/>
        <v>0</v>
      </c>
      <c r="AH54" s="268">
        <f t="shared" si="9"/>
        <v>0</v>
      </c>
      <c r="AI54" s="268"/>
      <c r="AJ54" s="268"/>
      <c r="AK54" s="268"/>
      <c r="AL54" s="268"/>
      <c r="AM54" s="268">
        <f t="shared" si="10"/>
        <v>0</v>
      </c>
      <c r="AN54" s="268">
        <f t="shared" si="11"/>
        <v>0</v>
      </c>
    </row>
    <row r="55" spans="1:40" s="296" customFormat="1">
      <c r="A55" s="262">
        <v>45</v>
      </c>
      <c r="B55" s="263" t="s">
        <v>432</v>
      </c>
      <c r="C55" s="262" t="s">
        <v>73</v>
      </c>
      <c r="D55" s="280">
        <v>100000</v>
      </c>
      <c r="E55" s="265"/>
      <c r="F55" s="265">
        <f t="shared" si="43"/>
        <v>0</v>
      </c>
      <c r="G55" s="265"/>
      <c r="H55" s="265"/>
      <c r="I55" s="265"/>
      <c r="J55" s="266"/>
      <c r="K55" s="265">
        <f t="shared" si="44"/>
        <v>0</v>
      </c>
      <c r="L55" s="266"/>
      <c r="M55" s="266"/>
      <c r="N55" s="266"/>
      <c r="O55" s="266">
        <v>100000</v>
      </c>
      <c r="P55" s="265">
        <v>121000</v>
      </c>
      <c r="Q55" s="266">
        <v>63300</v>
      </c>
      <c r="R55" s="266">
        <v>1100000</v>
      </c>
      <c r="S55" s="262">
        <v>64818</v>
      </c>
      <c r="T55" s="266"/>
      <c r="U55" s="265">
        <f t="shared" si="46"/>
        <v>0</v>
      </c>
      <c r="V55" s="266"/>
      <c r="W55" s="269"/>
      <c r="X55" s="266"/>
      <c r="Y55" s="268">
        <f t="shared" si="6"/>
        <v>100000</v>
      </c>
      <c r="Z55" s="428">
        <v>121000</v>
      </c>
      <c r="AA55" s="428">
        <v>121000</v>
      </c>
      <c r="AB55" s="430">
        <f t="shared" si="38"/>
        <v>0</v>
      </c>
      <c r="AC55" s="266">
        <f t="shared" si="7"/>
        <v>100000</v>
      </c>
      <c r="AD55" s="542">
        <v>100000</v>
      </c>
      <c r="AE55" s="268">
        <f t="shared" si="30"/>
        <v>64818</v>
      </c>
      <c r="AF55" s="268">
        <v>64818</v>
      </c>
      <c r="AG55" s="268">
        <f t="shared" si="8"/>
        <v>1100000</v>
      </c>
      <c r="AH55" s="268">
        <v>1011013</v>
      </c>
      <c r="AI55" s="268">
        <v>0</v>
      </c>
      <c r="AJ55" s="268"/>
      <c r="AK55" s="268"/>
      <c r="AL55" s="268"/>
      <c r="AM55" s="268">
        <f t="shared" si="10"/>
        <v>0</v>
      </c>
      <c r="AN55" s="268">
        <f t="shared" si="11"/>
        <v>1011013</v>
      </c>
    </row>
    <row r="56" spans="1:40" s="296" customFormat="1">
      <c r="A56" s="262">
        <v>46</v>
      </c>
      <c r="B56" s="263" t="s">
        <v>74</v>
      </c>
      <c r="C56" s="262" t="s">
        <v>75</v>
      </c>
      <c r="D56" s="264"/>
      <c r="E56" s="265"/>
      <c r="F56" s="265">
        <f t="shared" si="43"/>
        <v>0</v>
      </c>
      <c r="G56" s="265"/>
      <c r="H56" s="265"/>
      <c r="I56" s="265"/>
      <c r="J56" s="266"/>
      <c r="K56" s="265">
        <f t="shared" si="44"/>
        <v>0</v>
      </c>
      <c r="L56" s="266"/>
      <c r="M56" s="266"/>
      <c r="N56" s="266"/>
      <c r="O56" s="266"/>
      <c r="P56" s="265">
        <f t="shared" si="45"/>
        <v>0</v>
      </c>
      <c r="Q56" s="266"/>
      <c r="R56" s="266"/>
      <c r="S56" s="266"/>
      <c r="T56" s="266"/>
      <c r="U56" s="265">
        <f t="shared" si="46"/>
        <v>0</v>
      </c>
      <c r="V56" s="266"/>
      <c r="W56" s="269"/>
      <c r="X56" s="266"/>
      <c r="Y56" s="268">
        <f t="shared" si="6"/>
        <v>0</v>
      </c>
      <c r="Z56" s="428">
        <v>0</v>
      </c>
      <c r="AA56" s="428">
        <v>0</v>
      </c>
      <c r="AB56" s="430">
        <f t="shared" si="38"/>
        <v>0</v>
      </c>
      <c r="AC56" s="266">
        <f t="shared" si="7"/>
        <v>0</v>
      </c>
      <c r="AD56" s="266"/>
      <c r="AE56" s="268">
        <f t="shared" si="30"/>
        <v>0</v>
      </c>
      <c r="AF56" s="268"/>
      <c r="AG56" s="268">
        <f t="shared" si="8"/>
        <v>0</v>
      </c>
      <c r="AH56" s="268">
        <f t="shared" si="9"/>
        <v>0</v>
      </c>
      <c r="AI56" s="268">
        <v>0</v>
      </c>
      <c r="AJ56" s="268"/>
      <c r="AK56" s="268"/>
      <c r="AL56" s="268"/>
      <c r="AM56" s="268">
        <f t="shared" si="10"/>
        <v>0</v>
      </c>
      <c r="AN56" s="268">
        <f t="shared" si="11"/>
        <v>0</v>
      </c>
    </row>
    <row r="57" spans="1:40" s="296" customFormat="1">
      <c r="A57" s="278">
        <v>47</v>
      </c>
      <c r="B57" s="279" t="s">
        <v>76</v>
      </c>
      <c r="C57" s="278" t="s">
        <v>77</v>
      </c>
      <c r="D57" s="286">
        <f t="shared" ref="D57" si="47">SUM(D58:D60)</f>
        <v>110000</v>
      </c>
      <c r="E57" s="281">
        <f t="shared" ref="E57:X57" si="48">SUM(E58:E60)</f>
        <v>110000</v>
      </c>
      <c r="F57" s="281">
        <f t="shared" si="48"/>
        <v>110000</v>
      </c>
      <c r="G57" s="281">
        <f t="shared" si="48"/>
        <v>110000</v>
      </c>
      <c r="H57" s="281"/>
      <c r="I57" s="281">
        <f t="shared" si="48"/>
        <v>110000</v>
      </c>
      <c r="J57" s="281">
        <f t="shared" si="48"/>
        <v>0</v>
      </c>
      <c r="K57" s="281">
        <f t="shared" si="48"/>
        <v>0</v>
      </c>
      <c r="L57" s="281">
        <f t="shared" si="48"/>
        <v>115000</v>
      </c>
      <c r="M57" s="281"/>
      <c r="N57" s="281">
        <f t="shared" si="48"/>
        <v>0</v>
      </c>
      <c r="O57" s="281">
        <f t="shared" si="48"/>
        <v>0</v>
      </c>
      <c r="P57" s="281">
        <f t="shared" si="48"/>
        <v>0</v>
      </c>
      <c r="Q57" s="281">
        <f t="shared" si="48"/>
        <v>0</v>
      </c>
      <c r="R57" s="267">
        <v>150000</v>
      </c>
      <c r="S57" s="281">
        <f t="shared" si="48"/>
        <v>69000</v>
      </c>
      <c r="T57" s="281">
        <f t="shared" si="48"/>
        <v>0</v>
      </c>
      <c r="U57" s="281">
        <f t="shared" si="48"/>
        <v>0</v>
      </c>
      <c r="V57" s="281">
        <f t="shared" si="48"/>
        <v>0</v>
      </c>
      <c r="W57" s="267"/>
      <c r="X57" s="281">
        <f t="shared" si="48"/>
        <v>0</v>
      </c>
      <c r="Y57" s="268">
        <f t="shared" si="6"/>
        <v>110000</v>
      </c>
      <c r="Z57" s="428">
        <v>110000</v>
      </c>
      <c r="AA57" s="428">
        <v>110000</v>
      </c>
      <c r="AB57" s="430">
        <f t="shared" si="38"/>
        <v>69000</v>
      </c>
      <c r="AC57" s="266">
        <f t="shared" si="7"/>
        <v>179000</v>
      </c>
      <c r="AD57" s="542">
        <v>179000</v>
      </c>
      <c r="AE57" s="268">
        <f t="shared" si="30"/>
        <v>179000</v>
      </c>
      <c r="AF57" s="268">
        <v>179000</v>
      </c>
      <c r="AG57" s="268">
        <f t="shared" si="8"/>
        <v>150000</v>
      </c>
      <c r="AH57" s="268">
        <v>329000</v>
      </c>
      <c r="AI57" s="268">
        <f>SUM(AI58:AI60)</f>
        <v>240000</v>
      </c>
      <c r="AJ57" s="268"/>
      <c r="AK57" s="268">
        <f>SUM(AK58:AK60)</f>
        <v>20000</v>
      </c>
      <c r="AL57" s="268"/>
      <c r="AM57" s="268">
        <f t="shared" si="10"/>
        <v>260000</v>
      </c>
      <c r="AN57" s="268">
        <f t="shared" si="11"/>
        <v>69000</v>
      </c>
    </row>
    <row r="58" spans="1:40" s="296" customFormat="1" ht="15.75" customHeight="1">
      <c r="A58" s="262">
        <v>48</v>
      </c>
      <c r="B58" s="287" t="s">
        <v>402</v>
      </c>
      <c r="C58" s="262"/>
      <c r="D58" s="264"/>
      <c r="E58" s="265"/>
      <c r="F58" s="265">
        <f>E58</f>
        <v>0</v>
      </c>
      <c r="G58" s="265"/>
      <c r="H58" s="265"/>
      <c r="I58" s="265"/>
      <c r="J58" s="266"/>
      <c r="K58" s="265">
        <f>J58</f>
        <v>0</v>
      </c>
      <c r="L58" s="266"/>
      <c r="M58" s="266"/>
      <c r="N58" s="266"/>
      <c r="O58" s="266"/>
      <c r="P58" s="265">
        <f>O58</f>
        <v>0</v>
      </c>
      <c r="Q58" s="266"/>
      <c r="R58" s="266"/>
      <c r="S58" s="266"/>
      <c r="T58" s="266"/>
      <c r="U58" s="265">
        <f>T58</f>
        <v>0</v>
      </c>
      <c r="V58" s="266"/>
      <c r="W58" s="269"/>
      <c r="X58" s="266"/>
      <c r="Y58" s="268">
        <f t="shared" si="6"/>
        <v>0</v>
      </c>
      <c r="Z58" s="428">
        <v>0</v>
      </c>
      <c r="AA58" s="428">
        <v>0</v>
      </c>
      <c r="AB58" s="430">
        <f t="shared" si="38"/>
        <v>0</v>
      </c>
      <c r="AC58" s="266">
        <f t="shared" si="7"/>
        <v>0</v>
      </c>
      <c r="AD58" s="266"/>
      <c r="AE58" s="268">
        <f t="shared" si="30"/>
        <v>0</v>
      </c>
      <c r="AF58" s="268"/>
      <c r="AG58" s="268">
        <f t="shared" si="8"/>
        <v>0</v>
      </c>
      <c r="AH58" s="268">
        <f t="shared" si="9"/>
        <v>0</v>
      </c>
      <c r="AI58" s="268">
        <v>220000</v>
      </c>
      <c r="AJ58" s="268"/>
      <c r="AK58" s="268"/>
      <c r="AL58" s="268"/>
      <c r="AM58" s="268">
        <f t="shared" si="10"/>
        <v>220000</v>
      </c>
      <c r="AN58" s="268">
        <f t="shared" si="11"/>
        <v>-220000</v>
      </c>
    </row>
    <row r="59" spans="1:40" s="296" customFormat="1" ht="15.75" customHeight="1">
      <c r="A59" s="262">
        <v>49</v>
      </c>
      <c r="B59" s="287" t="s">
        <v>437</v>
      </c>
      <c r="C59" s="262"/>
      <c r="D59" s="264">
        <v>110000</v>
      </c>
      <c r="E59" s="265">
        <v>110000</v>
      </c>
      <c r="F59" s="265">
        <v>110000</v>
      </c>
      <c r="G59" s="265">
        <v>110000</v>
      </c>
      <c r="H59" s="265"/>
      <c r="I59" s="262">
        <v>110000</v>
      </c>
      <c r="J59" s="266"/>
      <c r="K59" s="265">
        <f t="shared" ref="K59:K60" si="49">J59</f>
        <v>0</v>
      </c>
      <c r="L59" s="266">
        <v>115000</v>
      </c>
      <c r="M59" s="266"/>
      <c r="N59" s="266"/>
      <c r="O59" s="266"/>
      <c r="P59" s="265">
        <f t="shared" ref="P59:P60" si="50">O59</f>
        <v>0</v>
      </c>
      <c r="Q59" s="266"/>
      <c r="R59" s="266"/>
      <c r="S59" s="262">
        <v>69000</v>
      </c>
      <c r="T59" s="266"/>
      <c r="U59" s="265">
        <f t="shared" ref="U59:U60" si="51">T59</f>
        <v>0</v>
      </c>
      <c r="V59" s="266"/>
      <c r="W59" s="269"/>
      <c r="X59" s="266"/>
      <c r="Y59" s="268">
        <f t="shared" si="6"/>
        <v>110000</v>
      </c>
      <c r="Z59" s="428">
        <v>110000</v>
      </c>
      <c r="AA59" s="428">
        <v>110000</v>
      </c>
      <c r="AB59" s="430">
        <f t="shared" si="38"/>
        <v>-110000</v>
      </c>
      <c r="AC59" s="266">
        <f t="shared" si="7"/>
        <v>0</v>
      </c>
      <c r="AD59" s="266"/>
      <c r="AE59" s="268">
        <f t="shared" si="30"/>
        <v>179000</v>
      </c>
      <c r="AF59" s="268"/>
      <c r="AG59" s="268">
        <f t="shared" si="8"/>
        <v>0</v>
      </c>
      <c r="AH59" s="268">
        <f t="shared" si="9"/>
        <v>0</v>
      </c>
      <c r="AI59" s="268">
        <v>20000</v>
      </c>
      <c r="AJ59" s="268"/>
      <c r="AK59" s="268">
        <v>20000</v>
      </c>
      <c r="AL59" s="268"/>
      <c r="AM59" s="268">
        <f t="shared" si="10"/>
        <v>40000</v>
      </c>
      <c r="AN59" s="268">
        <f t="shared" si="11"/>
        <v>-40000</v>
      </c>
    </row>
    <row r="60" spans="1:40" s="296" customFormat="1" ht="15.75" customHeight="1">
      <c r="A60" s="262">
        <v>50</v>
      </c>
      <c r="B60" s="287" t="s">
        <v>403</v>
      </c>
      <c r="C60" s="262"/>
      <c r="D60" s="264"/>
      <c r="E60" s="265"/>
      <c r="F60" s="265">
        <f t="shared" ref="F60" si="52">E60</f>
        <v>0</v>
      </c>
      <c r="G60" s="265"/>
      <c r="H60" s="265"/>
      <c r="I60" s="265"/>
      <c r="J60" s="266"/>
      <c r="K60" s="265">
        <f t="shared" si="49"/>
        <v>0</v>
      </c>
      <c r="L60" s="266"/>
      <c r="M60" s="266"/>
      <c r="N60" s="266"/>
      <c r="O60" s="266"/>
      <c r="P60" s="265">
        <f t="shared" si="50"/>
        <v>0</v>
      </c>
      <c r="Q60" s="266"/>
      <c r="R60" s="266"/>
      <c r="S60" s="266"/>
      <c r="T60" s="266"/>
      <c r="U60" s="265">
        <f t="shared" si="51"/>
        <v>0</v>
      </c>
      <c r="V60" s="266"/>
      <c r="W60" s="269"/>
      <c r="X60" s="266"/>
      <c r="Y60" s="268">
        <f t="shared" si="6"/>
        <v>0</v>
      </c>
      <c r="Z60" s="428">
        <v>0</v>
      </c>
      <c r="AA60" s="428">
        <v>0</v>
      </c>
      <c r="AB60" s="430">
        <f t="shared" si="38"/>
        <v>0</v>
      </c>
      <c r="AC60" s="266">
        <f t="shared" si="7"/>
        <v>0</v>
      </c>
      <c r="AD60" s="266"/>
      <c r="AE60" s="268">
        <f t="shared" si="30"/>
        <v>0</v>
      </c>
      <c r="AF60" s="268"/>
      <c r="AG60" s="268">
        <f t="shared" si="8"/>
        <v>0</v>
      </c>
      <c r="AH60" s="268">
        <f t="shared" si="9"/>
        <v>0</v>
      </c>
      <c r="AI60" s="268"/>
      <c r="AJ60" s="268"/>
      <c r="AK60" s="268"/>
      <c r="AL60" s="268"/>
      <c r="AM60" s="268">
        <f t="shared" si="10"/>
        <v>0</v>
      </c>
      <c r="AN60" s="268">
        <f t="shared" si="11"/>
        <v>0</v>
      </c>
    </row>
    <row r="61" spans="1:40" s="296" customFormat="1">
      <c r="A61" s="278">
        <v>51</v>
      </c>
      <c r="B61" s="279" t="s">
        <v>80</v>
      </c>
      <c r="C61" s="278" t="s">
        <v>81</v>
      </c>
      <c r="D61" s="286">
        <f t="shared" ref="D61:V61" si="53">SUM(D62:D66)</f>
        <v>259000</v>
      </c>
      <c r="E61" s="281">
        <f t="shared" si="53"/>
        <v>0</v>
      </c>
      <c r="F61" s="281">
        <f t="shared" si="53"/>
        <v>0</v>
      </c>
      <c r="G61" s="281">
        <f t="shared" si="53"/>
        <v>0</v>
      </c>
      <c r="H61" s="281"/>
      <c r="I61" s="281"/>
      <c r="J61" s="281">
        <f t="shared" si="53"/>
        <v>0</v>
      </c>
      <c r="K61" s="281">
        <f t="shared" si="53"/>
        <v>0</v>
      </c>
      <c r="L61" s="281">
        <f t="shared" si="53"/>
        <v>0</v>
      </c>
      <c r="M61" s="281"/>
      <c r="N61" s="281"/>
      <c r="O61" s="281">
        <f t="shared" si="53"/>
        <v>259000</v>
      </c>
      <c r="P61" s="281">
        <f t="shared" si="53"/>
        <v>419000</v>
      </c>
      <c r="Q61" s="281">
        <f>SUM(Q62:Q66)</f>
        <v>294056</v>
      </c>
      <c r="R61" s="281">
        <v>300000</v>
      </c>
      <c r="S61" s="262">
        <v>270647</v>
      </c>
      <c r="T61" s="281">
        <f t="shared" si="53"/>
        <v>0</v>
      </c>
      <c r="U61" s="281">
        <f t="shared" si="53"/>
        <v>0</v>
      </c>
      <c r="V61" s="281">
        <f t="shared" si="53"/>
        <v>0</v>
      </c>
      <c r="W61" s="267"/>
      <c r="X61" s="281"/>
      <c r="Y61" s="268">
        <f t="shared" si="6"/>
        <v>259000</v>
      </c>
      <c r="Z61" s="428">
        <v>370000</v>
      </c>
      <c r="AA61" s="428">
        <v>370000</v>
      </c>
      <c r="AB61" s="430">
        <f t="shared" si="38"/>
        <v>846147</v>
      </c>
      <c r="AC61" s="266">
        <f t="shared" si="7"/>
        <v>1105147</v>
      </c>
      <c r="AD61" s="542">
        <f>359000+746147</f>
        <v>1105147</v>
      </c>
      <c r="AE61" s="268">
        <f t="shared" si="30"/>
        <v>270647</v>
      </c>
      <c r="AF61" s="268">
        <v>449356</v>
      </c>
      <c r="AG61" s="268">
        <f t="shared" si="8"/>
        <v>300000</v>
      </c>
      <c r="AH61" s="268">
        <v>329987</v>
      </c>
      <c r="AI61" s="268">
        <v>0</v>
      </c>
      <c r="AJ61" s="268"/>
      <c r="AK61" s="268">
        <f>SUM(AK62:AK66)</f>
        <v>186008</v>
      </c>
      <c r="AL61" s="268"/>
      <c r="AM61" s="268">
        <f t="shared" si="10"/>
        <v>186008</v>
      </c>
      <c r="AN61" s="268">
        <f t="shared" si="11"/>
        <v>143979</v>
      </c>
    </row>
    <row r="62" spans="1:40" s="296" customFormat="1" ht="15.75" customHeight="1">
      <c r="A62" s="262">
        <v>52</v>
      </c>
      <c r="B62" s="287" t="s">
        <v>404</v>
      </c>
      <c r="C62" s="262"/>
      <c r="D62" s="288">
        <v>160000</v>
      </c>
      <c r="E62" s="265"/>
      <c r="F62" s="265">
        <f>E62</f>
        <v>0</v>
      </c>
      <c r="G62" s="265"/>
      <c r="H62" s="265"/>
      <c r="I62" s="265"/>
      <c r="J62" s="266"/>
      <c r="K62" s="265">
        <f>J62</f>
        <v>0</v>
      </c>
      <c r="L62" s="266"/>
      <c r="M62" s="266"/>
      <c r="N62" s="266"/>
      <c r="O62" s="266">
        <v>160000</v>
      </c>
      <c r="P62" s="265">
        <v>180000</v>
      </c>
      <c r="Q62" s="266">
        <f>105891+21034</f>
        <v>126925</v>
      </c>
      <c r="R62" s="266"/>
      <c r="S62" s="262"/>
      <c r="T62" s="266"/>
      <c r="U62" s="265">
        <f>T62</f>
        <v>0</v>
      </c>
      <c r="V62" s="266"/>
      <c r="W62" s="269"/>
      <c r="X62" s="266"/>
      <c r="Y62" s="268">
        <f t="shared" si="6"/>
        <v>160000</v>
      </c>
      <c r="Z62" s="428">
        <v>180000</v>
      </c>
      <c r="AA62" s="428">
        <v>180000</v>
      </c>
      <c r="AB62" s="430">
        <f t="shared" si="38"/>
        <v>-160000</v>
      </c>
      <c r="AC62" s="266">
        <f t="shared" si="7"/>
        <v>0</v>
      </c>
      <c r="AD62" s="266"/>
      <c r="AE62" s="268">
        <f t="shared" si="30"/>
        <v>0</v>
      </c>
      <c r="AF62" s="268"/>
      <c r="AG62" s="268">
        <f t="shared" si="8"/>
        <v>0</v>
      </c>
      <c r="AH62" s="268">
        <f t="shared" si="9"/>
        <v>0</v>
      </c>
      <c r="AI62" s="268"/>
      <c r="AJ62" s="268"/>
      <c r="AK62" s="268">
        <v>103783</v>
      </c>
      <c r="AL62" s="268"/>
      <c r="AM62" s="268">
        <f t="shared" si="10"/>
        <v>103783</v>
      </c>
      <c r="AN62" s="268">
        <f t="shared" si="11"/>
        <v>-103783</v>
      </c>
    </row>
    <row r="63" spans="1:40" s="296" customFormat="1" ht="15.75" customHeight="1">
      <c r="A63" s="262">
        <v>53</v>
      </c>
      <c r="B63" s="287" t="s">
        <v>83</v>
      </c>
      <c r="C63" s="262"/>
      <c r="D63" s="288">
        <v>18000</v>
      </c>
      <c r="E63" s="265"/>
      <c r="F63" s="265">
        <f t="shared" ref="F63:F66" si="54">E63</f>
        <v>0</v>
      </c>
      <c r="G63" s="265"/>
      <c r="H63" s="265"/>
      <c r="I63" s="265"/>
      <c r="J63" s="266"/>
      <c r="K63" s="265">
        <f t="shared" ref="K63:K66" si="55">J63</f>
        <v>0</v>
      </c>
      <c r="L63" s="266"/>
      <c r="M63" s="266"/>
      <c r="N63" s="266"/>
      <c r="O63" s="266">
        <v>18000</v>
      </c>
      <c r="P63" s="265">
        <f t="shared" ref="P63:P65" si="56">O63</f>
        <v>18000</v>
      </c>
      <c r="Q63" s="266">
        <v>13355</v>
      </c>
      <c r="R63" s="266"/>
      <c r="S63" s="266"/>
      <c r="T63" s="266"/>
      <c r="U63" s="265">
        <f t="shared" ref="U63:U66" si="57">T63</f>
        <v>0</v>
      </c>
      <c r="V63" s="266"/>
      <c r="W63" s="269"/>
      <c r="X63" s="266"/>
      <c r="Y63" s="268">
        <f t="shared" si="6"/>
        <v>18000</v>
      </c>
      <c r="Z63" s="428">
        <v>0</v>
      </c>
      <c r="AA63" s="428">
        <v>0</v>
      </c>
      <c r="AB63" s="430">
        <f t="shared" si="38"/>
        <v>-18000</v>
      </c>
      <c r="AC63" s="266">
        <f t="shared" si="7"/>
        <v>0</v>
      </c>
      <c r="AD63" s="266"/>
      <c r="AE63" s="268">
        <f t="shared" si="30"/>
        <v>0</v>
      </c>
      <c r="AF63" s="268"/>
      <c r="AG63" s="268">
        <f t="shared" si="8"/>
        <v>0</v>
      </c>
      <c r="AH63" s="268">
        <f t="shared" si="9"/>
        <v>0</v>
      </c>
      <c r="AI63" s="268"/>
      <c r="AJ63" s="268"/>
      <c r="AK63" s="268">
        <v>7290</v>
      </c>
      <c r="AL63" s="268"/>
      <c r="AM63" s="268">
        <f t="shared" si="10"/>
        <v>7290</v>
      </c>
      <c r="AN63" s="268">
        <f t="shared" si="11"/>
        <v>-7290</v>
      </c>
    </row>
    <row r="64" spans="1:40" s="296" customFormat="1" ht="15.75" customHeight="1">
      <c r="A64" s="262">
        <v>54</v>
      </c>
      <c r="B64" s="287" t="s">
        <v>292</v>
      </c>
      <c r="C64" s="262"/>
      <c r="D64" s="288">
        <v>0</v>
      </c>
      <c r="E64" s="265"/>
      <c r="F64" s="265">
        <f t="shared" si="54"/>
        <v>0</v>
      </c>
      <c r="G64" s="265"/>
      <c r="H64" s="265"/>
      <c r="I64" s="265"/>
      <c r="J64" s="266"/>
      <c r="K64" s="265">
        <f t="shared" si="55"/>
        <v>0</v>
      </c>
      <c r="L64" s="266"/>
      <c r="M64" s="266"/>
      <c r="N64" s="266"/>
      <c r="O64" s="266"/>
      <c r="P64" s="265">
        <f t="shared" si="56"/>
        <v>0</v>
      </c>
      <c r="Q64" s="266">
        <v>108742</v>
      </c>
      <c r="R64" s="266"/>
      <c r="S64" s="266"/>
      <c r="T64" s="266"/>
      <c r="U64" s="265">
        <f t="shared" si="57"/>
        <v>0</v>
      </c>
      <c r="V64" s="266"/>
      <c r="W64" s="269"/>
      <c r="X64" s="266"/>
      <c r="Y64" s="268">
        <f t="shared" si="6"/>
        <v>0</v>
      </c>
      <c r="Z64" s="428">
        <v>0</v>
      </c>
      <c r="AA64" s="428">
        <v>0</v>
      </c>
      <c r="AB64" s="430">
        <f t="shared" si="38"/>
        <v>0</v>
      </c>
      <c r="AC64" s="266">
        <f t="shared" si="7"/>
        <v>0</v>
      </c>
      <c r="AD64" s="266"/>
      <c r="AE64" s="268">
        <f t="shared" si="30"/>
        <v>0</v>
      </c>
      <c r="AF64" s="268"/>
      <c r="AG64" s="268">
        <f t="shared" si="8"/>
        <v>0</v>
      </c>
      <c r="AH64" s="268">
        <f t="shared" si="9"/>
        <v>0</v>
      </c>
      <c r="AI64" s="268"/>
      <c r="AJ64" s="268"/>
      <c r="AK64" s="268">
        <v>10000</v>
      </c>
      <c r="AL64" s="268"/>
      <c r="AM64" s="268">
        <f t="shared" si="10"/>
        <v>10000</v>
      </c>
      <c r="AN64" s="268">
        <f t="shared" si="11"/>
        <v>-10000</v>
      </c>
    </row>
    <row r="65" spans="1:40" s="296" customFormat="1" ht="15.75" customHeight="1">
      <c r="A65" s="262">
        <v>55</v>
      </c>
      <c r="B65" s="287" t="s">
        <v>405</v>
      </c>
      <c r="C65" s="262"/>
      <c r="D65" s="288">
        <v>31000</v>
      </c>
      <c r="E65" s="265"/>
      <c r="F65" s="265">
        <f t="shared" si="54"/>
        <v>0</v>
      </c>
      <c r="G65" s="265"/>
      <c r="H65" s="265"/>
      <c r="I65" s="265"/>
      <c r="J65" s="266"/>
      <c r="K65" s="265">
        <f t="shared" si="55"/>
        <v>0</v>
      </c>
      <c r="L65" s="266"/>
      <c r="M65" s="266"/>
      <c r="N65" s="266"/>
      <c r="O65" s="266">
        <v>31000</v>
      </c>
      <c r="P65" s="265">
        <f t="shared" si="56"/>
        <v>31000</v>
      </c>
      <c r="Q65" s="266"/>
      <c r="R65" s="266"/>
      <c r="S65" s="266"/>
      <c r="T65" s="266"/>
      <c r="U65" s="265">
        <f t="shared" si="57"/>
        <v>0</v>
      </c>
      <c r="V65" s="266"/>
      <c r="W65" s="269"/>
      <c r="X65" s="266"/>
      <c r="Y65" s="268">
        <f t="shared" si="6"/>
        <v>31000</v>
      </c>
      <c r="Z65" s="428">
        <v>0</v>
      </c>
      <c r="AA65" s="428">
        <v>0</v>
      </c>
      <c r="AB65" s="430">
        <f t="shared" si="38"/>
        <v>-31000</v>
      </c>
      <c r="AC65" s="266">
        <f t="shared" si="7"/>
        <v>0</v>
      </c>
      <c r="AD65" s="266"/>
      <c r="AE65" s="268">
        <f t="shared" si="30"/>
        <v>0</v>
      </c>
      <c r="AF65" s="268"/>
      <c r="AG65" s="268">
        <f t="shared" si="8"/>
        <v>0</v>
      </c>
      <c r="AH65" s="268">
        <f t="shared" si="9"/>
        <v>0</v>
      </c>
      <c r="AI65" s="268"/>
      <c r="AJ65" s="268"/>
      <c r="AK65" s="268">
        <v>33124</v>
      </c>
      <c r="AL65" s="268"/>
      <c r="AM65" s="268">
        <f t="shared" si="10"/>
        <v>33124</v>
      </c>
      <c r="AN65" s="268">
        <f t="shared" si="11"/>
        <v>-33124</v>
      </c>
    </row>
    <row r="66" spans="1:40" s="296" customFormat="1" ht="45">
      <c r="A66" s="262">
        <v>56</v>
      </c>
      <c r="B66" s="287" t="s">
        <v>955</v>
      </c>
      <c r="C66" s="262"/>
      <c r="D66" s="288">
        <v>50000</v>
      </c>
      <c r="E66" s="265"/>
      <c r="F66" s="265">
        <f t="shared" si="54"/>
        <v>0</v>
      </c>
      <c r="G66" s="265"/>
      <c r="H66" s="265"/>
      <c r="I66" s="265"/>
      <c r="J66" s="266"/>
      <c r="K66" s="265">
        <f t="shared" si="55"/>
        <v>0</v>
      </c>
      <c r="L66" s="266"/>
      <c r="M66" s="266"/>
      <c r="N66" s="266"/>
      <c r="O66" s="266">
        <v>50000</v>
      </c>
      <c r="P66" s="265">
        <v>190000</v>
      </c>
      <c r="Q66" s="266">
        <v>45034</v>
      </c>
      <c r="R66" s="266"/>
      <c r="S66" s="266"/>
      <c r="T66" s="266"/>
      <c r="U66" s="265">
        <f t="shared" si="57"/>
        <v>0</v>
      </c>
      <c r="V66" s="266"/>
      <c r="W66" s="269"/>
      <c r="X66" s="266"/>
      <c r="Y66" s="268">
        <f t="shared" si="6"/>
        <v>50000</v>
      </c>
      <c r="Z66" s="428">
        <v>190000</v>
      </c>
      <c r="AA66" s="428">
        <v>190000</v>
      </c>
      <c r="AB66" s="430">
        <f t="shared" si="38"/>
        <v>-50000</v>
      </c>
      <c r="AC66" s="266">
        <f t="shared" si="7"/>
        <v>0</v>
      </c>
      <c r="AD66" s="266"/>
      <c r="AE66" s="268">
        <f t="shared" si="30"/>
        <v>0</v>
      </c>
      <c r="AF66" s="268"/>
      <c r="AG66" s="268">
        <f t="shared" si="8"/>
        <v>0</v>
      </c>
      <c r="AH66" s="268">
        <f t="shared" si="9"/>
        <v>0</v>
      </c>
      <c r="AI66" s="268"/>
      <c r="AJ66" s="268"/>
      <c r="AK66" s="268">
        <f>20000+11811</f>
        <v>31811</v>
      </c>
      <c r="AL66" s="268"/>
      <c r="AM66" s="268">
        <f t="shared" si="10"/>
        <v>31811</v>
      </c>
      <c r="AN66" s="268">
        <f t="shared" si="11"/>
        <v>-31811</v>
      </c>
    </row>
    <row r="67" spans="1:40" s="277" customFormat="1">
      <c r="A67" s="289">
        <v>57</v>
      </c>
      <c r="B67" s="290" t="s">
        <v>87</v>
      </c>
      <c r="C67" s="289" t="s">
        <v>88</v>
      </c>
      <c r="D67" s="291">
        <f>SUM(D48,D52,D57,D61,D54,D55,D56)</f>
        <v>2219000</v>
      </c>
      <c r="E67" s="291">
        <f t="shared" ref="E67:X67" si="58">SUM(E48,E52,E57,E61,E54,E55,E56)</f>
        <v>110000</v>
      </c>
      <c r="F67" s="291">
        <f t="shared" si="58"/>
        <v>110000</v>
      </c>
      <c r="G67" s="291">
        <f t="shared" si="58"/>
        <v>110000</v>
      </c>
      <c r="H67" s="291">
        <f>SUM(H61,H57,H56,H55,H48)</f>
        <v>0</v>
      </c>
      <c r="I67" s="291">
        <f t="shared" si="58"/>
        <v>110000</v>
      </c>
      <c r="J67" s="291">
        <f t="shared" si="58"/>
        <v>0</v>
      </c>
      <c r="K67" s="291">
        <f t="shared" si="58"/>
        <v>0</v>
      </c>
      <c r="L67" s="291">
        <f t="shared" si="58"/>
        <v>115000</v>
      </c>
      <c r="M67" s="291"/>
      <c r="N67" s="291">
        <f t="shared" si="58"/>
        <v>0</v>
      </c>
      <c r="O67" s="291">
        <f t="shared" si="58"/>
        <v>2109000</v>
      </c>
      <c r="P67" s="291">
        <f t="shared" si="58"/>
        <v>3220000</v>
      </c>
      <c r="Q67" s="291">
        <f t="shared" si="58"/>
        <v>1697669</v>
      </c>
      <c r="R67" s="291">
        <f>R48+R55+R56+R57+R61</f>
        <v>3750000</v>
      </c>
      <c r="S67" s="291">
        <f t="shared" si="58"/>
        <v>1936730</v>
      </c>
      <c r="T67" s="291">
        <f t="shared" si="58"/>
        <v>0</v>
      </c>
      <c r="U67" s="291">
        <f t="shared" si="58"/>
        <v>0</v>
      </c>
      <c r="V67" s="291">
        <f t="shared" si="58"/>
        <v>0</v>
      </c>
      <c r="W67" s="292"/>
      <c r="X67" s="291">
        <f t="shared" si="58"/>
        <v>0</v>
      </c>
      <c r="Y67" s="276">
        <f>SUM(E67,J67,O67,T67)</f>
        <v>2219000</v>
      </c>
      <c r="Z67" s="516">
        <v>3281000</v>
      </c>
      <c r="AA67" s="516">
        <v>3281000</v>
      </c>
      <c r="AB67" s="434">
        <f>SUM(AB61,AB57,AB55,AB56,AB48)</f>
        <v>840147</v>
      </c>
      <c r="AC67" s="434">
        <f t="shared" ref="AC67:AD67" si="59">SUM(AC61,AC57,AC55,AC56,AC48)</f>
        <v>3059147</v>
      </c>
      <c r="AD67" s="434">
        <f t="shared" si="59"/>
        <v>3059147</v>
      </c>
      <c r="AE67" s="276">
        <f t="shared" si="30"/>
        <v>2046730</v>
      </c>
      <c r="AF67" s="276">
        <f>AF48+AF55+AF56+AF57+AF61</f>
        <v>2485430</v>
      </c>
      <c r="AG67" s="276">
        <f t="shared" si="8"/>
        <v>3750000</v>
      </c>
      <c r="AH67" s="276">
        <f>AH48+AH52+AH54+AH55+AH56+AH57+AH61</f>
        <v>3870000</v>
      </c>
      <c r="AI67" s="268">
        <f>SUM(AI48:AI57,AI61)</f>
        <v>240000</v>
      </c>
      <c r="AJ67" s="276">
        <f>SUM(AJ48:AJ61)</f>
        <v>0</v>
      </c>
      <c r="AK67" s="276">
        <f>SUM(AK48+AK52+AK54+AK55+AK56+AK57+AK61)</f>
        <v>1619265</v>
      </c>
      <c r="AL67" s="276">
        <f>SUM(AL48:AL61)</f>
        <v>0</v>
      </c>
      <c r="AM67" s="276">
        <f t="shared" si="10"/>
        <v>1859265</v>
      </c>
      <c r="AN67" s="276">
        <f t="shared" si="11"/>
        <v>2010735</v>
      </c>
    </row>
    <row r="68" spans="1:40" s="296" customFormat="1" ht="15.75" hidden="1" customHeight="1">
      <c r="A68" s="262">
        <v>58</v>
      </c>
      <c r="B68" s="263" t="s">
        <v>89</v>
      </c>
      <c r="C68" s="262" t="s">
        <v>90</v>
      </c>
      <c r="D68" s="264">
        <v>0</v>
      </c>
      <c r="E68" s="265">
        <v>0</v>
      </c>
      <c r="F68" s="265">
        <v>5000</v>
      </c>
      <c r="G68" s="265"/>
      <c r="H68" s="265"/>
      <c r="I68" s="265"/>
      <c r="J68" s="266">
        <v>0</v>
      </c>
      <c r="K68" s="265">
        <v>5000</v>
      </c>
      <c r="L68" s="266"/>
      <c r="M68" s="266"/>
      <c r="N68" s="266"/>
      <c r="O68" s="266"/>
      <c r="P68" s="265">
        <f>O68</f>
        <v>0</v>
      </c>
      <c r="Q68" s="266"/>
      <c r="R68" s="266"/>
      <c r="S68" s="266"/>
      <c r="T68" s="266"/>
      <c r="U68" s="265">
        <f>T68</f>
        <v>0</v>
      </c>
      <c r="V68" s="266"/>
      <c r="W68" s="269"/>
      <c r="X68" s="266"/>
      <c r="Y68" s="268">
        <f t="shared" si="6"/>
        <v>0</v>
      </c>
      <c r="Z68" s="428">
        <v>10000</v>
      </c>
      <c r="AA68" s="428">
        <v>10000</v>
      </c>
      <c r="AB68" s="430">
        <f t="shared" ref="AB68:AB81" si="60">AD68-Y68</f>
        <v>0</v>
      </c>
      <c r="AC68" s="266">
        <f t="shared" si="7"/>
        <v>0</v>
      </c>
      <c r="AD68" s="266"/>
      <c r="AE68" s="268">
        <f t="shared" si="30"/>
        <v>0</v>
      </c>
      <c r="AF68" s="268"/>
      <c r="AG68" s="268">
        <f t="shared" si="8"/>
        <v>0</v>
      </c>
      <c r="AH68" s="268">
        <f t="shared" si="9"/>
        <v>0</v>
      </c>
      <c r="AI68" s="268"/>
      <c r="AJ68" s="268"/>
      <c r="AK68" s="268"/>
      <c r="AL68" s="268"/>
      <c r="AM68" s="268">
        <f t="shared" si="10"/>
        <v>0</v>
      </c>
      <c r="AN68" s="268">
        <f t="shared" si="11"/>
        <v>0</v>
      </c>
    </row>
    <row r="69" spans="1:40" s="296" customFormat="1" ht="15.75" hidden="1" customHeight="1">
      <c r="A69" s="262">
        <v>59</v>
      </c>
      <c r="B69" s="263" t="s">
        <v>91</v>
      </c>
      <c r="C69" s="262" t="s">
        <v>92</v>
      </c>
      <c r="D69" s="264"/>
      <c r="E69" s="265"/>
      <c r="F69" s="265">
        <f>E69</f>
        <v>0</v>
      </c>
      <c r="G69" s="265"/>
      <c r="H69" s="265"/>
      <c r="I69" s="265"/>
      <c r="J69" s="266"/>
      <c r="K69" s="265">
        <f>J69</f>
        <v>0</v>
      </c>
      <c r="L69" s="266"/>
      <c r="M69" s="266"/>
      <c r="N69" s="266"/>
      <c r="O69" s="266"/>
      <c r="P69" s="265">
        <f>O69</f>
        <v>0</v>
      </c>
      <c r="Q69" s="266"/>
      <c r="R69" s="266"/>
      <c r="S69" s="266"/>
      <c r="T69" s="266"/>
      <c r="U69" s="265">
        <f>T69</f>
        <v>0</v>
      </c>
      <c r="V69" s="266"/>
      <c r="W69" s="269"/>
      <c r="X69" s="266"/>
      <c r="Y69" s="268">
        <f t="shared" si="6"/>
        <v>0</v>
      </c>
      <c r="Z69" s="428">
        <v>0</v>
      </c>
      <c r="AA69" s="428">
        <v>0</v>
      </c>
      <c r="AB69" s="430">
        <f t="shared" si="60"/>
        <v>0</v>
      </c>
      <c r="AC69" s="266">
        <f t="shared" si="7"/>
        <v>0</v>
      </c>
      <c r="AD69" s="266"/>
      <c r="AE69" s="268">
        <f t="shared" si="30"/>
        <v>0</v>
      </c>
      <c r="AF69" s="268"/>
      <c r="AG69" s="268">
        <f t="shared" si="8"/>
        <v>0</v>
      </c>
      <c r="AH69" s="268">
        <f t="shared" si="9"/>
        <v>0</v>
      </c>
      <c r="AI69" s="268"/>
      <c r="AJ69" s="268"/>
      <c r="AK69" s="268"/>
      <c r="AL69" s="268"/>
      <c r="AM69" s="268">
        <f t="shared" si="10"/>
        <v>0</v>
      </c>
      <c r="AN69" s="268">
        <f t="shared" si="11"/>
        <v>0</v>
      </c>
    </row>
    <row r="70" spans="1:40" s="296" customFormat="1">
      <c r="A70" s="278">
        <v>60</v>
      </c>
      <c r="B70" s="279" t="s">
        <v>93</v>
      </c>
      <c r="C70" s="278" t="s">
        <v>94</v>
      </c>
      <c r="D70" s="286">
        <f>SUM(D68:D69)</f>
        <v>0</v>
      </c>
      <c r="E70" s="286">
        <f t="shared" ref="E70:X70" si="61">SUM(E68:E69)</f>
        <v>0</v>
      </c>
      <c r="F70" s="286">
        <f t="shared" si="61"/>
        <v>5000</v>
      </c>
      <c r="G70" s="286">
        <f t="shared" si="61"/>
        <v>0</v>
      </c>
      <c r="H70" s="286"/>
      <c r="I70" s="286">
        <f t="shared" si="61"/>
        <v>0</v>
      </c>
      <c r="J70" s="286">
        <f t="shared" si="61"/>
        <v>0</v>
      </c>
      <c r="K70" s="286">
        <f t="shared" si="61"/>
        <v>5000</v>
      </c>
      <c r="L70" s="286">
        <f t="shared" si="61"/>
        <v>0</v>
      </c>
      <c r="M70" s="286"/>
      <c r="N70" s="286">
        <f t="shared" si="61"/>
        <v>0</v>
      </c>
      <c r="O70" s="286">
        <f t="shared" si="61"/>
        <v>0</v>
      </c>
      <c r="P70" s="286">
        <f t="shared" si="61"/>
        <v>0</v>
      </c>
      <c r="Q70" s="286">
        <f t="shared" si="61"/>
        <v>0</v>
      </c>
      <c r="R70" s="286"/>
      <c r="S70" s="286">
        <f t="shared" si="61"/>
        <v>0</v>
      </c>
      <c r="T70" s="286">
        <f t="shared" si="61"/>
        <v>0</v>
      </c>
      <c r="U70" s="286">
        <f t="shared" si="61"/>
        <v>0</v>
      </c>
      <c r="V70" s="286">
        <f t="shared" si="61"/>
        <v>0</v>
      </c>
      <c r="W70" s="280"/>
      <c r="X70" s="286">
        <f t="shared" si="61"/>
        <v>0</v>
      </c>
      <c r="Y70" s="268">
        <f t="shared" si="6"/>
        <v>0</v>
      </c>
      <c r="Z70" s="428">
        <v>10000</v>
      </c>
      <c r="AA70" s="428">
        <v>10000</v>
      </c>
      <c r="AB70" s="430">
        <f t="shared" si="60"/>
        <v>0</v>
      </c>
      <c r="AC70" s="266">
        <f t="shared" si="7"/>
        <v>0</v>
      </c>
      <c r="AD70" s="266"/>
      <c r="AE70" s="268">
        <f t="shared" si="30"/>
        <v>0</v>
      </c>
      <c r="AF70" s="268"/>
      <c r="AG70" s="268">
        <f t="shared" si="8"/>
        <v>0</v>
      </c>
      <c r="AH70" s="268">
        <f t="shared" si="9"/>
        <v>0</v>
      </c>
      <c r="AI70" s="268">
        <v>0</v>
      </c>
      <c r="AJ70" s="268"/>
      <c r="AK70" s="268">
        <v>0</v>
      </c>
      <c r="AL70" s="268"/>
      <c r="AM70" s="268">
        <f t="shared" si="10"/>
        <v>0</v>
      </c>
      <c r="AN70" s="268">
        <f t="shared" si="11"/>
        <v>0</v>
      </c>
    </row>
    <row r="71" spans="1:40" s="296" customFormat="1">
      <c r="A71" s="262">
        <v>61</v>
      </c>
      <c r="B71" s="263" t="s">
        <v>95</v>
      </c>
      <c r="C71" s="262" t="s">
        <v>96</v>
      </c>
      <c r="D71" s="264">
        <f>SUM(D67,D70,D61,D57,D52,D48,D47,D41)*0.27</f>
        <v>1473660</v>
      </c>
      <c r="E71" s="265"/>
      <c r="F71" s="265">
        <f>E71</f>
        <v>0</v>
      </c>
      <c r="G71" s="265">
        <v>196</v>
      </c>
      <c r="H71" s="265"/>
      <c r="I71" s="265"/>
      <c r="J71" s="265"/>
      <c r="K71" s="265">
        <f>J71</f>
        <v>0</v>
      </c>
      <c r="L71" s="265">
        <v>1350</v>
      </c>
      <c r="M71" s="265"/>
      <c r="N71" s="265"/>
      <c r="O71" s="265">
        <v>1473660</v>
      </c>
      <c r="P71" s="265">
        <v>979998</v>
      </c>
      <c r="Q71" s="265">
        <v>535762</v>
      </c>
      <c r="R71" s="265">
        <f>(SUM(R67,R47,R41)*0.27)</f>
        <v>1394550</v>
      </c>
      <c r="S71" s="262">
        <v>550476</v>
      </c>
      <c r="T71" s="262"/>
      <c r="U71" s="265">
        <f>S71</f>
        <v>550476</v>
      </c>
      <c r="V71" s="265"/>
      <c r="W71" s="267"/>
      <c r="X71" s="265"/>
      <c r="Y71" s="268">
        <v>1473660</v>
      </c>
      <c r="Z71" s="428">
        <v>1000000</v>
      </c>
      <c r="AA71" s="428">
        <v>979998</v>
      </c>
      <c r="AB71" s="430">
        <f t="shared" si="60"/>
        <v>201460</v>
      </c>
      <c r="AC71" s="266">
        <f t="shared" si="7"/>
        <v>1675120</v>
      </c>
      <c r="AD71" s="542">
        <f>1473660+201460</f>
        <v>1675120</v>
      </c>
      <c r="AE71" s="268">
        <f t="shared" si="30"/>
        <v>550476</v>
      </c>
      <c r="AF71" s="268">
        <v>762719</v>
      </c>
      <c r="AG71" s="268">
        <f t="shared" si="8"/>
        <v>1394550</v>
      </c>
      <c r="AH71" s="268">
        <f t="shared" si="9"/>
        <v>1394550</v>
      </c>
      <c r="AI71" s="268"/>
      <c r="AJ71" s="268"/>
      <c r="AK71" s="268">
        <v>456025</v>
      </c>
      <c r="AL71" s="268"/>
      <c r="AM71" s="268">
        <f t="shared" si="10"/>
        <v>456025</v>
      </c>
      <c r="AN71" s="268">
        <f t="shared" si="11"/>
        <v>938525</v>
      </c>
    </row>
    <row r="72" spans="1:40" s="296" customFormat="1">
      <c r="A72" s="262">
        <v>62</v>
      </c>
      <c r="B72" s="263" t="s">
        <v>97</v>
      </c>
      <c r="C72" s="262" t="s">
        <v>98</v>
      </c>
      <c r="D72" s="264"/>
      <c r="E72" s="265"/>
      <c r="F72" s="265">
        <f t="shared" ref="F72:F74" si="62">E72</f>
        <v>0</v>
      </c>
      <c r="G72" s="265"/>
      <c r="H72" s="265"/>
      <c r="I72" s="265"/>
      <c r="J72" s="266"/>
      <c r="K72" s="265">
        <f t="shared" ref="K72:K74" si="63">J72</f>
        <v>0</v>
      </c>
      <c r="L72" s="266"/>
      <c r="M72" s="266"/>
      <c r="N72" s="266"/>
      <c r="O72" s="266"/>
      <c r="P72" s="265">
        <f t="shared" ref="P72:P74" si="64">O72</f>
        <v>0</v>
      </c>
      <c r="Q72" s="266"/>
      <c r="R72" s="266">
        <v>0</v>
      </c>
      <c r="S72" s="266"/>
      <c r="T72" s="266"/>
      <c r="U72" s="265">
        <f t="shared" ref="U72:U74" si="65">T72</f>
        <v>0</v>
      </c>
      <c r="V72" s="266"/>
      <c r="W72" s="269"/>
      <c r="X72" s="266"/>
      <c r="Y72" s="268">
        <f t="shared" si="6"/>
        <v>0</v>
      </c>
      <c r="Z72" s="428">
        <v>0</v>
      </c>
      <c r="AA72" s="428">
        <v>0</v>
      </c>
      <c r="AB72" s="430">
        <f t="shared" si="60"/>
        <v>0</v>
      </c>
      <c r="AC72" s="266">
        <f t="shared" si="7"/>
        <v>0</v>
      </c>
      <c r="AD72" s="266"/>
      <c r="AE72" s="268">
        <f t="shared" si="30"/>
        <v>0</v>
      </c>
      <c r="AF72" s="268"/>
      <c r="AG72" s="268">
        <f t="shared" si="8"/>
        <v>0</v>
      </c>
      <c r="AH72" s="268">
        <f t="shared" si="9"/>
        <v>0</v>
      </c>
      <c r="AI72" s="268">
        <v>0</v>
      </c>
      <c r="AJ72" s="268"/>
      <c r="AK72" s="268"/>
      <c r="AL72" s="268"/>
      <c r="AM72" s="268">
        <f t="shared" si="10"/>
        <v>0</v>
      </c>
      <c r="AN72" s="268">
        <f t="shared" si="11"/>
        <v>0</v>
      </c>
    </row>
    <row r="73" spans="1:40" s="296" customFormat="1">
      <c r="A73" s="262">
        <v>63</v>
      </c>
      <c r="B73" s="263" t="s">
        <v>99</v>
      </c>
      <c r="C73" s="262" t="s">
        <v>100</v>
      </c>
      <c r="D73" s="264"/>
      <c r="E73" s="265"/>
      <c r="F73" s="265">
        <f t="shared" si="62"/>
        <v>0</v>
      </c>
      <c r="G73" s="265"/>
      <c r="H73" s="265"/>
      <c r="I73" s="265"/>
      <c r="J73" s="266"/>
      <c r="K73" s="265">
        <f t="shared" si="63"/>
        <v>0</v>
      </c>
      <c r="L73" s="266"/>
      <c r="M73" s="266"/>
      <c r="N73" s="266"/>
      <c r="O73" s="266"/>
      <c r="P73" s="265">
        <f t="shared" si="64"/>
        <v>0</v>
      </c>
      <c r="Q73" s="266"/>
      <c r="R73" s="266"/>
      <c r="S73" s="266"/>
      <c r="T73" s="266"/>
      <c r="U73" s="265">
        <f t="shared" si="65"/>
        <v>0</v>
      </c>
      <c r="V73" s="266"/>
      <c r="W73" s="269"/>
      <c r="X73" s="266"/>
      <c r="Y73" s="268">
        <f t="shared" si="6"/>
        <v>0</v>
      </c>
      <c r="Z73" s="428">
        <v>0</v>
      </c>
      <c r="AA73" s="428">
        <v>0</v>
      </c>
      <c r="AB73" s="430">
        <f t="shared" si="60"/>
        <v>0</v>
      </c>
      <c r="AC73" s="266">
        <f t="shared" si="7"/>
        <v>0</v>
      </c>
      <c r="AD73" s="266"/>
      <c r="AE73" s="268">
        <f t="shared" si="30"/>
        <v>0</v>
      </c>
      <c r="AF73" s="268"/>
      <c r="AG73" s="268">
        <f t="shared" ref="AG73:AG107" si="66">H73+M73+R73+W73</f>
        <v>0</v>
      </c>
      <c r="AH73" s="268">
        <f t="shared" ref="AH73:AH119" si="67">SUM(AG73)</f>
        <v>0</v>
      </c>
      <c r="AI73" s="268">
        <v>0</v>
      </c>
      <c r="AJ73" s="268"/>
      <c r="AK73" s="268"/>
      <c r="AL73" s="268"/>
      <c r="AM73" s="268">
        <f t="shared" ref="AM73:AM117" si="68">AI73+AJ73+AK73+AL73</f>
        <v>0</v>
      </c>
      <c r="AN73" s="268">
        <f t="shared" ref="AN73:AN119" si="69">AH73-AM73</f>
        <v>0</v>
      </c>
    </row>
    <row r="74" spans="1:40" s="296" customFormat="1">
      <c r="A74" s="262">
        <v>64</v>
      </c>
      <c r="B74" s="263" t="s">
        <v>101</v>
      </c>
      <c r="C74" s="262" t="s">
        <v>102</v>
      </c>
      <c r="D74" s="264"/>
      <c r="E74" s="265"/>
      <c r="F74" s="265">
        <f t="shared" si="62"/>
        <v>0</v>
      </c>
      <c r="G74" s="265"/>
      <c r="H74" s="265"/>
      <c r="I74" s="265"/>
      <c r="J74" s="266"/>
      <c r="K74" s="265">
        <f t="shared" si="63"/>
        <v>0</v>
      </c>
      <c r="L74" s="266"/>
      <c r="M74" s="266"/>
      <c r="N74" s="266"/>
      <c r="O74" s="266"/>
      <c r="P74" s="265">
        <f t="shared" si="64"/>
        <v>0</v>
      </c>
      <c r="Q74" s="266"/>
      <c r="R74" s="266"/>
      <c r="S74" s="266"/>
      <c r="T74" s="266"/>
      <c r="U74" s="265">
        <f t="shared" si="65"/>
        <v>0</v>
      </c>
      <c r="V74" s="266"/>
      <c r="W74" s="269"/>
      <c r="X74" s="266"/>
      <c r="Y74" s="268">
        <f t="shared" ref="Y74:Y101" si="70">SUM(E74,J74,O74,T74)</f>
        <v>0</v>
      </c>
      <c r="Z74" s="428">
        <v>0</v>
      </c>
      <c r="AA74" s="428">
        <v>0</v>
      </c>
      <c r="AB74" s="544">
        <f t="shared" si="60"/>
        <v>0</v>
      </c>
      <c r="AC74" s="266">
        <f t="shared" ref="AC74:AC117" si="71">Y74+AB74</f>
        <v>0</v>
      </c>
      <c r="AD74" s="266"/>
      <c r="AE74" s="268">
        <f t="shared" si="30"/>
        <v>0</v>
      </c>
      <c r="AF74" s="268"/>
      <c r="AG74" s="268">
        <f t="shared" si="66"/>
        <v>0</v>
      </c>
      <c r="AH74" s="268">
        <f t="shared" si="67"/>
        <v>0</v>
      </c>
      <c r="AI74" s="268">
        <v>0</v>
      </c>
      <c r="AJ74" s="268"/>
      <c r="AK74" s="268"/>
      <c r="AL74" s="268"/>
      <c r="AM74" s="268">
        <f t="shared" si="68"/>
        <v>0</v>
      </c>
      <c r="AN74" s="268">
        <f t="shared" si="69"/>
        <v>0</v>
      </c>
    </row>
    <row r="75" spans="1:40" s="296" customFormat="1">
      <c r="A75" s="278">
        <v>65</v>
      </c>
      <c r="B75" s="279" t="s">
        <v>103</v>
      </c>
      <c r="C75" s="278" t="s">
        <v>104</v>
      </c>
      <c r="D75" s="286">
        <f t="shared" ref="D75:V75" si="72">SUM(D76:D80)</f>
        <v>0</v>
      </c>
      <c r="E75" s="281">
        <f t="shared" si="72"/>
        <v>0</v>
      </c>
      <c r="F75" s="281">
        <f t="shared" si="72"/>
        <v>0</v>
      </c>
      <c r="G75" s="281">
        <f t="shared" si="72"/>
        <v>3358</v>
      </c>
      <c r="H75" s="295"/>
      <c r="I75" s="557">
        <v>964</v>
      </c>
      <c r="J75" s="281">
        <f t="shared" si="72"/>
        <v>0</v>
      </c>
      <c r="K75" s="281">
        <f t="shared" si="72"/>
        <v>0</v>
      </c>
      <c r="L75" s="281">
        <f t="shared" si="72"/>
        <v>0</v>
      </c>
      <c r="M75" s="281"/>
      <c r="N75" s="281"/>
      <c r="O75" s="281">
        <f t="shared" si="72"/>
        <v>0</v>
      </c>
      <c r="P75" s="281">
        <f t="shared" si="72"/>
        <v>0</v>
      </c>
      <c r="Q75" s="281">
        <f t="shared" si="72"/>
        <v>2284</v>
      </c>
      <c r="R75" s="295">
        <v>30000</v>
      </c>
      <c r="S75" s="557">
        <v>7066</v>
      </c>
      <c r="T75" s="281">
        <f t="shared" si="72"/>
        <v>0</v>
      </c>
      <c r="U75" s="281">
        <f t="shared" si="72"/>
        <v>0</v>
      </c>
      <c r="V75" s="281">
        <f t="shared" si="72"/>
        <v>0</v>
      </c>
      <c r="W75" s="267"/>
      <c r="X75" s="281"/>
      <c r="Y75" s="268">
        <f t="shared" si="70"/>
        <v>0</v>
      </c>
      <c r="Z75" s="428">
        <v>0</v>
      </c>
      <c r="AA75" s="428">
        <v>0</v>
      </c>
      <c r="AB75" s="544">
        <f t="shared" si="60"/>
        <v>50000</v>
      </c>
      <c r="AC75" s="266">
        <f t="shared" si="71"/>
        <v>50000</v>
      </c>
      <c r="AD75" s="542">
        <v>50000</v>
      </c>
      <c r="AE75" s="268">
        <f t="shared" si="30"/>
        <v>8030</v>
      </c>
      <c r="AF75" s="268">
        <v>15627</v>
      </c>
      <c r="AG75" s="268">
        <f t="shared" si="66"/>
        <v>30000</v>
      </c>
      <c r="AH75" s="268">
        <f t="shared" si="67"/>
        <v>30000</v>
      </c>
      <c r="AI75" s="268">
        <v>0</v>
      </c>
      <c r="AJ75" s="268"/>
      <c r="AK75" s="268">
        <v>3100</v>
      </c>
      <c r="AL75" s="268"/>
      <c r="AM75" s="268">
        <f t="shared" si="68"/>
        <v>3100</v>
      </c>
      <c r="AN75" s="268">
        <f t="shared" si="69"/>
        <v>26900</v>
      </c>
    </row>
    <row r="76" spans="1:40" s="296" customFormat="1" ht="15.75" hidden="1" customHeight="1">
      <c r="A76" s="262">
        <v>66</v>
      </c>
      <c r="B76" s="287" t="s">
        <v>105</v>
      </c>
      <c r="C76" s="262"/>
      <c r="D76" s="264"/>
      <c r="E76" s="265"/>
      <c r="F76" s="265">
        <f>E76</f>
        <v>0</v>
      </c>
      <c r="G76" s="265"/>
      <c r="H76" s="265"/>
      <c r="I76" s="265"/>
      <c r="J76" s="266"/>
      <c r="K76" s="265">
        <f>J76</f>
        <v>0</v>
      </c>
      <c r="L76" s="266"/>
      <c r="M76" s="266"/>
      <c r="N76" s="266"/>
      <c r="O76" s="266"/>
      <c r="P76" s="265">
        <f>O76</f>
        <v>0</v>
      </c>
      <c r="Q76" s="266"/>
      <c r="R76" s="266"/>
      <c r="S76" s="266"/>
      <c r="T76" s="266"/>
      <c r="U76" s="265">
        <f>T76</f>
        <v>0</v>
      </c>
      <c r="V76" s="266"/>
      <c r="W76" s="269"/>
      <c r="X76" s="266"/>
      <c r="Y76" s="268">
        <f t="shared" si="70"/>
        <v>0</v>
      </c>
      <c r="Z76" s="428">
        <v>0</v>
      </c>
      <c r="AA76" s="428">
        <v>0</v>
      </c>
      <c r="AB76" s="544">
        <f t="shared" si="60"/>
        <v>0</v>
      </c>
      <c r="AC76" s="266">
        <f t="shared" si="71"/>
        <v>0</v>
      </c>
      <c r="AD76" s="266"/>
      <c r="AE76" s="268">
        <f t="shared" si="30"/>
        <v>0</v>
      </c>
      <c r="AF76" s="268"/>
      <c r="AG76" s="268">
        <f t="shared" si="66"/>
        <v>0</v>
      </c>
      <c r="AH76" s="268">
        <f t="shared" si="67"/>
        <v>0</v>
      </c>
      <c r="AI76" s="268"/>
      <c r="AJ76" s="268"/>
      <c r="AK76" s="268"/>
      <c r="AL76" s="268"/>
      <c r="AM76" s="268">
        <f t="shared" si="68"/>
        <v>0</v>
      </c>
      <c r="AN76" s="268">
        <f t="shared" si="69"/>
        <v>0</v>
      </c>
    </row>
    <row r="77" spans="1:40" s="296" customFormat="1" ht="15.75" hidden="1" customHeight="1">
      <c r="A77" s="262">
        <v>67</v>
      </c>
      <c r="B77" s="287"/>
      <c r="C77" s="262"/>
      <c r="D77" s="264"/>
      <c r="E77" s="265"/>
      <c r="F77" s="265">
        <f t="shared" ref="F77:F80" si="73">E77</f>
        <v>0</v>
      </c>
      <c r="G77" s="265"/>
      <c r="H77" s="265"/>
      <c r="I77" s="265"/>
      <c r="J77" s="266"/>
      <c r="K77" s="265">
        <f t="shared" ref="K77:K80" si="74">J77</f>
        <v>0</v>
      </c>
      <c r="L77" s="266"/>
      <c r="M77" s="266"/>
      <c r="N77" s="266"/>
      <c r="O77" s="266"/>
      <c r="P77" s="265">
        <f t="shared" ref="P77:P80" si="75">O77</f>
        <v>0</v>
      </c>
      <c r="Q77" s="266"/>
      <c r="R77" s="266"/>
      <c r="S77" s="266"/>
      <c r="T77" s="266"/>
      <c r="U77" s="265">
        <f t="shared" ref="U77:U80" si="76">T77</f>
        <v>0</v>
      </c>
      <c r="V77" s="266"/>
      <c r="W77" s="269"/>
      <c r="X77" s="266"/>
      <c r="Y77" s="268">
        <f t="shared" si="70"/>
        <v>0</v>
      </c>
      <c r="Z77" s="428">
        <v>0</v>
      </c>
      <c r="AA77" s="428">
        <v>0</v>
      </c>
      <c r="AB77" s="544">
        <f t="shared" si="60"/>
        <v>0</v>
      </c>
      <c r="AC77" s="266">
        <f t="shared" si="71"/>
        <v>0</v>
      </c>
      <c r="AD77" s="266"/>
      <c r="AE77" s="268">
        <f t="shared" si="30"/>
        <v>0</v>
      </c>
      <c r="AF77" s="268"/>
      <c r="AG77" s="268">
        <f t="shared" si="66"/>
        <v>0</v>
      </c>
      <c r="AH77" s="268">
        <f t="shared" si="67"/>
        <v>0</v>
      </c>
      <c r="AI77" s="268"/>
      <c r="AJ77" s="268"/>
      <c r="AK77" s="268"/>
      <c r="AL77" s="268"/>
      <c r="AM77" s="268">
        <f t="shared" si="68"/>
        <v>0</v>
      </c>
      <c r="AN77" s="268">
        <f t="shared" si="69"/>
        <v>0</v>
      </c>
    </row>
    <row r="78" spans="1:40" s="296" customFormat="1" ht="15.75" hidden="1" customHeight="1">
      <c r="A78" s="262">
        <v>68</v>
      </c>
      <c r="B78" s="287" t="s">
        <v>106</v>
      </c>
      <c r="C78" s="262"/>
      <c r="D78" s="264"/>
      <c r="E78" s="265"/>
      <c r="F78" s="265">
        <f t="shared" si="73"/>
        <v>0</v>
      </c>
      <c r="G78" s="265"/>
      <c r="H78" s="265"/>
      <c r="I78" s="265"/>
      <c r="J78" s="266"/>
      <c r="K78" s="265">
        <f t="shared" si="74"/>
        <v>0</v>
      </c>
      <c r="L78" s="266"/>
      <c r="M78" s="266"/>
      <c r="N78" s="266"/>
      <c r="O78" s="266"/>
      <c r="P78" s="265">
        <f t="shared" si="75"/>
        <v>0</v>
      </c>
      <c r="Q78" s="266"/>
      <c r="R78" s="266"/>
      <c r="S78" s="266"/>
      <c r="T78" s="266"/>
      <c r="U78" s="265">
        <f t="shared" si="76"/>
        <v>0</v>
      </c>
      <c r="V78" s="266"/>
      <c r="W78" s="269"/>
      <c r="X78" s="266"/>
      <c r="Y78" s="268">
        <f t="shared" si="70"/>
        <v>0</v>
      </c>
      <c r="Z78" s="428">
        <v>0</v>
      </c>
      <c r="AA78" s="428">
        <v>0</v>
      </c>
      <c r="AB78" s="544">
        <f t="shared" si="60"/>
        <v>0</v>
      </c>
      <c r="AC78" s="266">
        <f t="shared" si="71"/>
        <v>0</v>
      </c>
      <c r="AD78" s="266"/>
      <c r="AE78" s="268">
        <f t="shared" si="30"/>
        <v>0</v>
      </c>
      <c r="AF78" s="268"/>
      <c r="AG78" s="268">
        <f t="shared" si="66"/>
        <v>0</v>
      </c>
      <c r="AH78" s="268">
        <f t="shared" si="67"/>
        <v>0</v>
      </c>
      <c r="AI78" s="268"/>
      <c r="AJ78" s="268"/>
      <c r="AK78" s="268"/>
      <c r="AL78" s="268"/>
      <c r="AM78" s="268">
        <f t="shared" si="68"/>
        <v>0</v>
      </c>
      <c r="AN78" s="268">
        <f t="shared" si="69"/>
        <v>0</v>
      </c>
    </row>
    <row r="79" spans="1:40" s="296" customFormat="1" ht="15.75" hidden="1" customHeight="1">
      <c r="A79" s="262">
        <v>69</v>
      </c>
      <c r="B79" s="287" t="s">
        <v>107</v>
      </c>
      <c r="C79" s="262"/>
      <c r="D79" s="264"/>
      <c r="E79" s="265"/>
      <c r="F79" s="265">
        <f t="shared" si="73"/>
        <v>0</v>
      </c>
      <c r="G79" s="265"/>
      <c r="H79" s="265"/>
      <c r="I79" s="265"/>
      <c r="J79" s="266"/>
      <c r="K79" s="265">
        <f t="shared" si="74"/>
        <v>0</v>
      </c>
      <c r="L79" s="266"/>
      <c r="M79" s="266"/>
      <c r="N79" s="266"/>
      <c r="O79" s="266"/>
      <c r="P79" s="265">
        <f t="shared" si="75"/>
        <v>0</v>
      </c>
      <c r="Q79" s="266"/>
      <c r="R79" s="266"/>
      <c r="S79" s="266"/>
      <c r="T79" s="266"/>
      <c r="U79" s="265">
        <f t="shared" si="76"/>
        <v>0</v>
      </c>
      <c r="V79" s="266"/>
      <c r="W79" s="269"/>
      <c r="X79" s="266"/>
      <c r="Y79" s="268">
        <f t="shared" si="70"/>
        <v>0</v>
      </c>
      <c r="Z79" s="428">
        <v>0</v>
      </c>
      <c r="AA79" s="428">
        <v>0</v>
      </c>
      <c r="AB79" s="544">
        <f t="shared" si="60"/>
        <v>0</v>
      </c>
      <c r="AC79" s="266">
        <f t="shared" si="71"/>
        <v>0</v>
      </c>
      <c r="AD79" s="266"/>
      <c r="AE79" s="268">
        <f t="shared" si="30"/>
        <v>0</v>
      </c>
      <c r="AF79" s="268"/>
      <c r="AG79" s="268">
        <f t="shared" si="66"/>
        <v>0</v>
      </c>
      <c r="AH79" s="268">
        <f t="shared" si="67"/>
        <v>0</v>
      </c>
      <c r="AI79" s="268"/>
      <c r="AJ79" s="268"/>
      <c r="AK79" s="268"/>
      <c r="AL79" s="268"/>
      <c r="AM79" s="268">
        <f t="shared" si="68"/>
        <v>0</v>
      </c>
      <c r="AN79" s="268">
        <f t="shared" si="69"/>
        <v>0</v>
      </c>
    </row>
    <row r="80" spans="1:40" s="296" customFormat="1" ht="15.75" hidden="1" customHeight="1">
      <c r="A80" s="262">
        <v>70</v>
      </c>
      <c r="B80" s="287" t="s">
        <v>108</v>
      </c>
      <c r="C80" s="262"/>
      <c r="D80" s="264">
        <v>0</v>
      </c>
      <c r="E80" s="265"/>
      <c r="F80" s="265">
        <f t="shared" si="73"/>
        <v>0</v>
      </c>
      <c r="G80" s="265">
        <v>3358</v>
      </c>
      <c r="H80" s="265"/>
      <c r="I80" s="265"/>
      <c r="J80" s="266"/>
      <c r="K80" s="265">
        <f t="shared" si="74"/>
        <v>0</v>
      </c>
      <c r="L80" s="266"/>
      <c r="M80" s="266"/>
      <c r="N80" s="266"/>
      <c r="O80" s="266"/>
      <c r="P80" s="265">
        <f t="shared" si="75"/>
        <v>0</v>
      </c>
      <c r="Q80" s="266">
        <v>2284</v>
      </c>
      <c r="R80" s="266"/>
      <c r="S80" s="266"/>
      <c r="T80" s="266"/>
      <c r="U80" s="265">
        <f t="shared" si="76"/>
        <v>0</v>
      </c>
      <c r="V80" s="266"/>
      <c r="W80" s="269"/>
      <c r="X80" s="266"/>
      <c r="Y80" s="268">
        <f t="shared" si="70"/>
        <v>0</v>
      </c>
      <c r="Z80" s="428">
        <v>0</v>
      </c>
      <c r="AA80" s="428">
        <v>0</v>
      </c>
      <c r="AB80" s="544">
        <f t="shared" si="60"/>
        <v>0</v>
      </c>
      <c r="AC80" s="266">
        <f t="shared" si="71"/>
        <v>0</v>
      </c>
      <c r="AD80" s="266"/>
      <c r="AE80" s="268">
        <f t="shared" si="30"/>
        <v>0</v>
      </c>
      <c r="AF80" s="268"/>
      <c r="AG80" s="268">
        <f t="shared" si="66"/>
        <v>0</v>
      </c>
      <c r="AH80" s="268">
        <f t="shared" si="67"/>
        <v>0</v>
      </c>
      <c r="AI80" s="268"/>
      <c r="AJ80" s="268"/>
      <c r="AK80" s="268"/>
      <c r="AL80" s="268"/>
      <c r="AM80" s="268">
        <f t="shared" si="68"/>
        <v>0</v>
      </c>
      <c r="AN80" s="268">
        <f t="shared" si="69"/>
        <v>0</v>
      </c>
    </row>
    <row r="81" spans="1:40" s="277" customFormat="1">
      <c r="A81" s="271">
        <v>71</v>
      </c>
      <c r="B81" s="272" t="s">
        <v>109</v>
      </c>
      <c r="C81" s="271" t="s">
        <v>110</v>
      </c>
      <c r="D81" s="273">
        <f t="shared" ref="D81:X81" si="77">SUM(D75,D74,D73,D72,D71)</f>
        <v>1473660</v>
      </c>
      <c r="E81" s="273">
        <f t="shared" si="77"/>
        <v>0</v>
      </c>
      <c r="F81" s="273">
        <f t="shared" si="77"/>
        <v>0</v>
      </c>
      <c r="G81" s="273">
        <f t="shared" si="77"/>
        <v>3554</v>
      </c>
      <c r="H81" s="273">
        <f>SUM(H71:H80)</f>
        <v>0</v>
      </c>
      <c r="I81" s="273">
        <f t="shared" si="77"/>
        <v>964</v>
      </c>
      <c r="J81" s="273">
        <f t="shared" si="77"/>
        <v>0</v>
      </c>
      <c r="K81" s="273">
        <f t="shared" si="77"/>
        <v>0</v>
      </c>
      <c r="L81" s="273">
        <f t="shared" si="77"/>
        <v>1350</v>
      </c>
      <c r="M81" s="273"/>
      <c r="N81" s="273">
        <f t="shared" si="77"/>
        <v>0</v>
      </c>
      <c r="O81" s="273">
        <f t="shared" si="77"/>
        <v>1473660</v>
      </c>
      <c r="P81" s="273">
        <f t="shared" si="77"/>
        <v>979998</v>
      </c>
      <c r="Q81" s="273">
        <f t="shared" si="77"/>
        <v>538046</v>
      </c>
      <c r="R81" s="273">
        <f>R71+R72+R73+R74+R75</f>
        <v>1424550</v>
      </c>
      <c r="S81" s="273">
        <f t="shared" si="77"/>
        <v>557542</v>
      </c>
      <c r="T81" s="273">
        <f t="shared" si="77"/>
        <v>0</v>
      </c>
      <c r="U81" s="273">
        <f t="shared" si="77"/>
        <v>550476</v>
      </c>
      <c r="V81" s="273">
        <f t="shared" si="77"/>
        <v>0</v>
      </c>
      <c r="W81" s="282"/>
      <c r="X81" s="273">
        <f t="shared" si="77"/>
        <v>0</v>
      </c>
      <c r="Y81" s="276">
        <f t="shared" si="70"/>
        <v>1473660</v>
      </c>
      <c r="Z81" s="516">
        <v>1000000</v>
      </c>
      <c r="AA81" s="516">
        <v>979998</v>
      </c>
      <c r="AB81" s="545">
        <f t="shared" si="60"/>
        <v>251460</v>
      </c>
      <c r="AC81" s="439">
        <f t="shared" si="71"/>
        <v>1725120</v>
      </c>
      <c r="AD81" s="543">
        <f>SUM(AD71:AD75)</f>
        <v>1725120</v>
      </c>
      <c r="AE81" s="276">
        <f t="shared" si="30"/>
        <v>558506</v>
      </c>
      <c r="AF81" s="276">
        <f>AF71+AF72+AF73+AF74+AF75</f>
        <v>778346</v>
      </c>
      <c r="AG81" s="276">
        <f t="shared" si="66"/>
        <v>1424550</v>
      </c>
      <c r="AH81" s="276">
        <f>AH71+AH72+AH73+AH74+AH75</f>
        <v>1424550</v>
      </c>
      <c r="AI81" s="276">
        <f>SUM(AI71:AI80)</f>
        <v>0</v>
      </c>
      <c r="AJ81" s="276">
        <f>SUM(AJ71:AJ80)</f>
        <v>0</v>
      </c>
      <c r="AK81" s="276">
        <f>SUM(AK71:AK80)</f>
        <v>459125</v>
      </c>
      <c r="AL81" s="276">
        <f>SUM(AL71:AL80)</f>
        <v>0</v>
      </c>
      <c r="AM81" s="276">
        <f t="shared" si="68"/>
        <v>459125</v>
      </c>
      <c r="AN81" s="276">
        <f t="shared" si="69"/>
        <v>965425</v>
      </c>
    </row>
    <row r="82" spans="1:40" s="403" customFormat="1" ht="21">
      <c r="A82" s="1482" t="s">
        <v>111</v>
      </c>
      <c r="B82" s="1482"/>
      <c r="C82" s="297" t="s">
        <v>112</v>
      </c>
      <c r="D82" s="298">
        <f>SUM(D41,D47,D67,D70,D81)</f>
        <v>4812660</v>
      </c>
      <c r="E82" s="298">
        <f t="shared" ref="E82:X82" si="78">SUM(E41,E47,E67,E70,E81)</f>
        <v>110000</v>
      </c>
      <c r="F82" s="298">
        <f t="shared" si="78"/>
        <v>115000</v>
      </c>
      <c r="G82" s="298">
        <f t="shared" si="78"/>
        <v>117477</v>
      </c>
      <c r="H82" s="298">
        <f>SUM(H81,H67,H47,H41)</f>
        <v>0</v>
      </c>
      <c r="I82" s="298">
        <f t="shared" si="78"/>
        <v>110964</v>
      </c>
      <c r="J82" s="298">
        <f t="shared" si="78"/>
        <v>0</v>
      </c>
      <c r="K82" s="298">
        <f t="shared" si="78"/>
        <v>5000</v>
      </c>
      <c r="L82" s="298">
        <f t="shared" si="78"/>
        <v>116350</v>
      </c>
      <c r="M82" s="298"/>
      <c r="N82" s="298">
        <f t="shared" si="78"/>
        <v>0</v>
      </c>
      <c r="O82" s="298">
        <f t="shared" si="78"/>
        <v>4702660</v>
      </c>
      <c r="P82" s="298">
        <f t="shared" si="78"/>
        <v>5590998</v>
      </c>
      <c r="Q82" s="298">
        <f t="shared" si="78"/>
        <v>2757087</v>
      </c>
      <c r="R82" s="298">
        <f>SUM(R41,R47,R67,R70,R81)</f>
        <v>6589550</v>
      </c>
      <c r="S82" s="298">
        <f t="shared" si="78"/>
        <v>3047786</v>
      </c>
      <c r="T82" s="298">
        <f t="shared" si="78"/>
        <v>0</v>
      </c>
      <c r="U82" s="298">
        <f t="shared" si="78"/>
        <v>550476</v>
      </c>
      <c r="V82" s="298">
        <f t="shared" si="78"/>
        <v>0</v>
      </c>
      <c r="W82" s="299"/>
      <c r="X82" s="298">
        <f t="shared" si="78"/>
        <v>0</v>
      </c>
      <c r="Y82" s="558">
        <f t="shared" ref="Y82:AC82" si="79">SUM(Y81,Y70,Y67,Y47,Y41)</f>
        <v>4812660</v>
      </c>
      <c r="Z82" s="558">
        <f t="shared" si="79"/>
        <v>5462000</v>
      </c>
      <c r="AA82" s="558">
        <f t="shared" si="79"/>
        <v>5441998</v>
      </c>
      <c r="AB82" s="558">
        <f t="shared" si="79"/>
        <v>1012607</v>
      </c>
      <c r="AC82" s="546">
        <f t="shared" si="79"/>
        <v>5825267</v>
      </c>
      <c r="AD82" s="546">
        <f>SUM(AD81,AD70,AD67,AD47,AD41)</f>
        <v>5825267</v>
      </c>
      <c r="AE82" s="300">
        <f t="shared" si="30"/>
        <v>3158750</v>
      </c>
      <c r="AF82" s="300">
        <f>AF41+AF47+AF67+AF70+AF81</f>
        <v>4291122</v>
      </c>
      <c r="AG82" s="300">
        <f t="shared" si="66"/>
        <v>6589550</v>
      </c>
      <c r="AH82" s="300">
        <f>AH41+AH47+AH67+AH70+AH81</f>
        <v>6424366</v>
      </c>
      <c r="AI82" s="300">
        <f>+AI41+AI47+AI67+AI70+AI81</f>
        <v>240000</v>
      </c>
      <c r="AJ82" s="300">
        <f>AJ41+AJ47+AJ67+AJ70+AJ81</f>
        <v>0</v>
      </c>
      <c r="AK82" s="300">
        <f>AK41+AK47+AK67+AK70+AK81</f>
        <v>2307198</v>
      </c>
      <c r="AL82" s="300">
        <f>AL41+AL47+AL67+AL70+AL81</f>
        <v>0</v>
      </c>
      <c r="AM82" s="300">
        <f>AI82+AJ82+AK82+AL82</f>
        <v>2547198</v>
      </c>
      <c r="AN82" s="300">
        <f t="shared" si="69"/>
        <v>3877168</v>
      </c>
    </row>
    <row r="83" spans="1:40" s="296" customFormat="1" ht="15.75" hidden="1" customHeight="1">
      <c r="A83" s="262">
        <v>72</v>
      </c>
      <c r="B83" s="263" t="s">
        <v>113</v>
      </c>
      <c r="C83" s="262" t="s">
        <v>114</v>
      </c>
      <c r="D83" s="264"/>
      <c r="E83" s="265"/>
      <c r="F83" s="265"/>
      <c r="G83" s="265"/>
      <c r="H83" s="265"/>
      <c r="I83" s="265"/>
      <c r="J83" s="266"/>
      <c r="K83" s="265"/>
      <c r="L83" s="266"/>
      <c r="M83" s="266"/>
      <c r="N83" s="266"/>
      <c r="O83" s="266"/>
      <c r="P83" s="265"/>
      <c r="Q83" s="266"/>
      <c r="R83" s="266"/>
      <c r="S83" s="266"/>
      <c r="T83" s="266"/>
      <c r="U83" s="265"/>
      <c r="V83" s="266"/>
      <c r="W83" s="269"/>
      <c r="X83" s="266"/>
      <c r="Y83" s="268">
        <f t="shared" si="70"/>
        <v>0</v>
      </c>
      <c r="Z83" s="428">
        <v>0</v>
      </c>
      <c r="AA83" s="428">
        <v>0</v>
      </c>
      <c r="AB83" s="544">
        <f t="shared" ref="AB83:AB101" si="80">AD83-Y83</f>
        <v>0</v>
      </c>
      <c r="AC83" s="266">
        <f t="shared" si="71"/>
        <v>0</v>
      </c>
      <c r="AD83" s="266"/>
      <c r="AE83" s="268">
        <f t="shared" si="30"/>
        <v>0</v>
      </c>
      <c r="AF83" s="268"/>
      <c r="AG83" s="268">
        <f t="shared" si="66"/>
        <v>0</v>
      </c>
      <c r="AH83" s="268">
        <f t="shared" si="67"/>
        <v>0</v>
      </c>
      <c r="AI83" s="268"/>
      <c r="AJ83" s="268"/>
      <c r="AK83" s="268"/>
      <c r="AL83" s="268"/>
      <c r="AM83" s="268">
        <f t="shared" si="68"/>
        <v>0</v>
      </c>
      <c r="AN83" s="268">
        <f t="shared" si="69"/>
        <v>0</v>
      </c>
    </row>
    <row r="84" spans="1:40" s="296" customFormat="1" ht="15.75" hidden="1" customHeight="1">
      <c r="A84" s="262">
        <v>73</v>
      </c>
      <c r="B84" s="263" t="s">
        <v>115</v>
      </c>
      <c r="C84" s="262" t="s">
        <v>116</v>
      </c>
      <c r="D84" s="264"/>
      <c r="E84" s="265"/>
      <c r="F84" s="265"/>
      <c r="G84" s="265"/>
      <c r="H84" s="265"/>
      <c r="I84" s="265"/>
      <c r="J84" s="266"/>
      <c r="K84" s="265"/>
      <c r="L84" s="266"/>
      <c r="M84" s="266"/>
      <c r="N84" s="266"/>
      <c r="O84" s="266"/>
      <c r="P84" s="265"/>
      <c r="Q84" s="266"/>
      <c r="R84" s="266"/>
      <c r="S84" s="266"/>
      <c r="T84" s="266"/>
      <c r="U84" s="265"/>
      <c r="V84" s="266"/>
      <c r="W84" s="269"/>
      <c r="X84" s="266"/>
      <c r="Y84" s="268">
        <f t="shared" si="70"/>
        <v>0</v>
      </c>
      <c r="Z84" s="428">
        <v>0</v>
      </c>
      <c r="AA84" s="428">
        <v>0</v>
      </c>
      <c r="AB84" s="544">
        <f t="shared" si="80"/>
        <v>0</v>
      </c>
      <c r="AC84" s="266">
        <f t="shared" si="71"/>
        <v>0</v>
      </c>
      <c r="AD84" s="266"/>
      <c r="AE84" s="268">
        <f t="shared" si="30"/>
        <v>0</v>
      </c>
      <c r="AF84" s="268"/>
      <c r="AG84" s="268">
        <f t="shared" si="66"/>
        <v>0</v>
      </c>
      <c r="AH84" s="268">
        <f t="shared" si="67"/>
        <v>0</v>
      </c>
      <c r="AI84" s="268"/>
      <c r="AJ84" s="268"/>
      <c r="AK84" s="268"/>
      <c r="AL84" s="268"/>
      <c r="AM84" s="268">
        <f t="shared" si="68"/>
        <v>0</v>
      </c>
      <c r="AN84" s="268">
        <f t="shared" si="69"/>
        <v>0</v>
      </c>
    </row>
    <row r="85" spans="1:40" s="296" customFormat="1">
      <c r="A85" s="262">
        <v>74</v>
      </c>
      <c r="B85" s="263" t="s">
        <v>117</v>
      </c>
      <c r="C85" s="262" t="s">
        <v>118</v>
      </c>
      <c r="D85" s="264">
        <f>SUM(D86:D87)</f>
        <v>300000</v>
      </c>
      <c r="E85" s="265"/>
      <c r="F85" s="265"/>
      <c r="G85" s="265"/>
      <c r="H85" s="265"/>
      <c r="I85" s="265"/>
      <c r="J85" s="265"/>
      <c r="K85" s="265"/>
      <c r="L85" s="265"/>
      <c r="M85" s="265"/>
      <c r="N85" s="265"/>
      <c r="O85" s="265">
        <v>300000</v>
      </c>
      <c r="P85" s="265"/>
      <c r="Q85" s="265"/>
      <c r="R85" s="301"/>
      <c r="S85" s="557">
        <v>127800</v>
      </c>
      <c r="T85" s="265"/>
      <c r="U85" s="265"/>
      <c r="V85" s="265"/>
      <c r="W85" s="267"/>
      <c r="X85" s="265"/>
      <c r="Y85" s="268">
        <f t="shared" si="70"/>
        <v>300000</v>
      </c>
      <c r="Z85" s="428">
        <v>0</v>
      </c>
      <c r="AA85" s="428">
        <v>0</v>
      </c>
      <c r="AB85" s="544">
        <f t="shared" si="80"/>
        <v>-151346</v>
      </c>
      <c r="AC85" s="266">
        <f t="shared" si="71"/>
        <v>148654</v>
      </c>
      <c r="AD85" s="542">
        <v>148654</v>
      </c>
      <c r="AE85" s="268">
        <f t="shared" si="30"/>
        <v>127800</v>
      </c>
      <c r="AF85" s="268">
        <v>127800</v>
      </c>
      <c r="AG85" s="268">
        <f t="shared" si="66"/>
        <v>0</v>
      </c>
      <c r="AH85" s="268">
        <f t="shared" si="67"/>
        <v>0</v>
      </c>
      <c r="AI85" s="268">
        <v>0</v>
      </c>
      <c r="AJ85" s="268"/>
      <c r="AK85" s="268"/>
      <c r="AL85" s="268"/>
      <c r="AM85" s="268">
        <f t="shared" si="68"/>
        <v>0</v>
      </c>
      <c r="AN85" s="268">
        <f t="shared" si="69"/>
        <v>0</v>
      </c>
    </row>
    <row r="86" spans="1:40" s="296" customFormat="1" ht="15.75" hidden="1" customHeight="1">
      <c r="A86" s="262">
        <v>75</v>
      </c>
      <c r="B86" s="293" t="s">
        <v>808</v>
      </c>
      <c r="C86" s="262"/>
      <c r="D86" s="264">
        <v>200000</v>
      </c>
      <c r="E86" s="265"/>
      <c r="F86" s="265"/>
      <c r="G86" s="265"/>
      <c r="H86" s="265"/>
      <c r="I86" s="265"/>
      <c r="J86" s="266"/>
      <c r="K86" s="265"/>
      <c r="L86" s="266"/>
      <c r="M86" s="266"/>
      <c r="N86" s="266"/>
      <c r="O86" s="266">
        <v>200000</v>
      </c>
      <c r="P86" s="265"/>
      <c r="Q86" s="266"/>
      <c r="R86" s="302"/>
      <c r="S86" s="557"/>
      <c r="T86" s="266"/>
      <c r="U86" s="265"/>
      <c r="V86" s="266"/>
      <c r="W86" s="269"/>
      <c r="X86" s="266"/>
      <c r="Y86" s="268">
        <f t="shared" si="70"/>
        <v>200000</v>
      </c>
      <c r="Z86" s="428">
        <v>0</v>
      </c>
      <c r="AA86" s="428">
        <v>0</v>
      </c>
      <c r="AB86" s="544">
        <f t="shared" si="80"/>
        <v>-200000</v>
      </c>
      <c r="AC86" s="266">
        <f t="shared" si="71"/>
        <v>0</v>
      </c>
      <c r="AD86" s="266"/>
      <c r="AE86" s="268">
        <f t="shared" si="30"/>
        <v>0</v>
      </c>
      <c r="AF86" s="268">
        <v>48591</v>
      </c>
      <c r="AG86" s="268">
        <f t="shared" si="66"/>
        <v>0</v>
      </c>
      <c r="AH86" s="268">
        <f t="shared" si="67"/>
        <v>0</v>
      </c>
      <c r="AI86" s="268"/>
      <c r="AJ86" s="268"/>
      <c r="AK86" s="268"/>
      <c r="AL86" s="268"/>
      <c r="AM86" s="268">
        <f t="shared" si="68"/>
        <v>0</v>
      </c>
      <c r="AN86" s="268">
        <f t="shared" si="69"/>
        <v>0</v>
      </c>
    </row>
    <row r="87" spans="1:40" s="296" customFormat="1" ht="15.75" hidden="1" customHeight="1">
      <c r="A87" s="262">
        <v>76</v>
      </c>
      <c r="B87" s="293" t="s">
        <v>809</v>
      </c>
      <c r="C87" s="262"/>
      <c r="D87" s="264">
        <v>100000</v>
      </c>
      <c r="E87" s="265"/>
      <c r="F87" s="265"/>
      <c r="G87" s="265"/>
      <c r="H87" s="265"/>
      <c r="I87" s="265"/>
      <c r="J87" s="266"/>
      <c r="K87" s="265"/>
      <c r="L87" s="266"/>
      <c r="M87" s="266"/>
      <c r="N87" s="266"/>
      <c r="O87" s="266">
        <v>100000</v>
      </c>
      <c r="P87" s="265"/>
      <c r="Q87" s="266"/>
      <c r="R87" s="266"/>
      <c r="S87" s="266"/>
      <c r="T87" s="266"/>
      <c r="U87" s="265"/>
      <c r="V87" s="266"/>
      <c r="W87" s="269"/>
      <c r="X87" s="266"/>
      <c r="Y87" s="268">
        <f t="shared" si="70"/>
        <v>100000</v>
      </c>
      <c r="Z87" s="428">
        <v>0</v>
      </c>
      <c r="AA87" s="428">
        <v>0</v>
      </c>
      <c r="AB87" s="544">
        <f t="shared" si="80"/>
        <v>-100000</v>
      </c>
      <c r="AC87" s="266">
        <f t="shared" si="71"/>
        <v>0</v>
      </c>
      <c r="AD87" s="266"/>
      <c r="AE87" s="268">
        <f t="shared" si="30"/>
        <v>0</v>
      </c>
      <c r="AF87" s="268">
        <v>37365</v>
      </c>
      <c r="AG87" s="268">
        <f t="shared" si="66"/>
        <v>0</v>
      </c>
      <c r="AH87" s="268">
        <f t="shared" si="67"/>
        <v>0</v>
      </c>
      <c r="AI87" s="268"/>
      <c r="AJ87" s="268"/>
      <c r="AK87" s="268"/>
      <c r="AL87" s="268"/>
      <c r="AM87" s="268">
        <f t="shared" si="68"/>
        <v>0</v>
      </c>
      <c r="AN87" s="268">
        <f t="shared" si="69"/>
        <v>0</v>
      </c>
    </row>
    <row r="88" spans="1:40" s="296" customFormat="1">
      <c r="A88" s="262">
        <v>77</v>
      </c>
      <c r="B88" s="263" t="s">
        <v>119</v>
      </c>
      <c r="C88" s="262" t="s">
        <v>120</v>
      </c>
      <c r="D88" s="264">
        <f t="shared" ref="D88:AA88" si="81">SUM(D89:D98)</f>
        <v>0</v>
      </c>
      <c r="E88" s="264">
        <f t="shared" si="81"/>
        <v>0</v>
      </c>
      <c r="F88" s="264">
        <f t="shared" si="81"/>
        <v>0</v>
      </c>
      <c r="G88" s="264">
        <f t="shared" si="81"/>
        <v>0</v>
      </c>
      <c r="H88" s="264"/>
      <c r="I88" s="264">
        <f t="shared" si="81"/>
        <v>0</v>
      </c>
      <c r="J88" s="264">
        <f t="shared" si="81"/>
        <v>0</v>
      </c>
      <c r="K88" s="264">
        <f t="shared" si="81"/>
        <v>0</v>
      </c>
      <c r="L88" s="264">
        <f t="shared" si="81"/>
        <v>0</v>
      </c>
      <c r="M88" s="264"/>
      <c r="N88" s="264">
        <f t="shared" si="81"/>
        <v>0</v>
      </c>
      <c r="O88" s="264">
        <f t="shared" si="81"/>
        <v>0</v>
      </c>
      <c r="P88" s="264">
        <f t="shared" si="81"/>
        <v>0</v>
      </c>
      <c r="Q88" s="264">
        <f t="shared" si="81"/>
        <v>0</v>
      </c>
      <c r="R88" s="264">
        <v>3276732</v>
      </c>
      <c r="S88" s="264">
        <v>10591</v>
      </c>
      <c r="T88" s="264">
        <f t="shared" si="81"/>
        <v>0</v>
      </c>
      <c r="U88" s="264">
        <f t="shared" si="81"/>
        <v>0</v>
      </c>
      <c r="V88" s="264">
        <f t="shared" si="81"/>
        <v>0</v>
      </c>
      <c r="W88" s="280"/>
      <c r="X88" s="264">
        <f t="shared" si="81"/>
        <v>0</v>
      </c>
      <c r="Y88" s="264">
        <f t="shared" si="81"/>
        <v>0</v>
      </c>
      <c r="Z88" s="264">
        <f t="shared" si="81"/>
        <v>0</v>
      </c>
      <c r="AA88" s="264">
        <f t="shared" si="81"/>
        <v>0</v>
      </c>
      <c r="AB88" s="544">
        <f t="shared" si="80"/>
        <v>48591</v>
      </c>
      <c r="AC88" s="266">
        <f t="shared" si="71"/>
        <v>48591</v>
      </c>
      <c r="AD88" s="542">
        <v>48591</v>
      </c>
      <c r="AE88" s="268">
        <f t="shared" si="30"/>
        <v>10591</v>
      </c>
      <c r="AF88" s="268">
        <v>48591</v>
      </c>
      <c r="AG88" s="268">
        <f t="shared" si="66"/>
        <v>3276732</v>
      </c>
      <c r="AH88" s="268">
        <v>4647183</v>
      </c>
      <c r="AI88" s="268">
        <v>0</v>
      </c>
      <c r="AJ88" s="268"/>
      <c r="AK88" s="268"/>
      <c r="AL88" s="268"/>
      <c r="AM88" s="268">
        <f t="shared" si="68"/>
        <v>0</v>
      </c>
      <c r="AN88" s="268">
        <f t="shared" si="69"/>
        <v>4647183</v>
      </c>
    </row>
    <row r="89" spans="1:40" s="296" customFormat="1" ht="15.75" hidden="1" customHeight="1">
      <c r="A89" s="262">
        <v>78</v>
      </c>
      <c r="B89" s="263" t="s">
        <v>406</v>
      </c>
      <c r="C89" s="262"/>
      <c r="D89" s="264"/>
      <c r="E89" s="265"/>
      <c r="F89" s="265"/>
      <c r="G89" s="265"/>
      <c r="H89" s="265"/>
      <c r="I89" s="265"/>
      <c r="J89" s="266"/>
      <c r="K89" s="265"/>
      <c r="L89" s="266"/>
      <c r="M89" s="266"/>
      <c r="N89" s="266"/>
      <c r="O89" s="266"/>
      <c r="P89" s="265"/>
      <c r="Q89" s="266"/>
      <c r="R89" s="266"/>
      <c r="S89" s="266"/>
      <c r="T89" s="266"/>
      <c r="U89" s="265"/>
      <c r="V89" s="266"/>
      <c r="W89" s="269"/>
      <c r="X89" s="266"/>
      <c r="Y89" s="268">
        <f t="shared" si="70"/>
        <v>0</v>
      </c>
      <c r="Z89" s="428">
        <v>0</v>
      </c>
      <c r="AA89" s="428">
        <v>0</v>
      </c>
      <c r="AB89" s="544">
        <f t="shared" si="80"/>
        <v>0</v>
      </c>
      <c r="AC89" s="266">
        <f t="shared" si="71"/>
        <v>0</v>
      </c>
      <c r="AD89" s="266"/>
      <c r="AE89" s="268">
        <f t="shared" si="30"/>
        <v>0</v>
      </c>
      <c r="AF89" s="268">
        <v>37365</v>
      </c>
      <c r="AG89" s="268">
        <f t="shared" si="66"/>
        <v>0</v>
      </c>
      <c r="AH89" s="268">
        <f t="shared" si="67"/>
        <v>0</v>
      </c>
      <c r="AI89" s="268"/>
      <c r="AJ89" s="268"/>
      <c r="AK89" s="268"/>
      <c r="AL89" s="268"/>
      <c r="AM89" s="268">
        <f t="shared" si="68"/>
        <v>0</v>
      </c>
      <c r="AN89" s="268">
        <f t="shared" si="69"/>
        <v>0</v>
      </c>
    </row>
    <row r="90" spans="1:40" s="296" customFormat="1" ht="15.75" hidden="1" customHeight="1">
      <c r="A90" s="262">
        <v>79</v>
      </c>
      <c r="B90" s="303" t="s">
        <v>407</v>
      </c>
      <c r="C90" s="262"/>
      <c r="D90" s="264"/>
      <c r="E90" s="265"/>
      <c r="F90" s="265"/>
      <c r="G90" s="265"/>
      <c r="H90" s="265"/>
      <c r="I90" s="265"/>
      <c r="J90" s="266"/>
      <c r="K90" s="265"/>
      <c r="L90" s="266"/>
      <c r="M90" s="266"/>
      <c r="N90" s="266"/>
      <c r="O90" s="266"/>
      <c r="P90" s="265"/>
      <c r="Q90" s="266"/>
      <c r="R90" s="266"/>
      <c r="S90" s="266"/>
      <c r="T90" s="266"/>
      <c r="U90" s="265"/>
      <c r="V90" s="266"/>
      <c r="W90" s="269"/>
      <c r="X90" s="266"/>
      <c r="Y90" s="268">
        <f t="shared" si="70"/>
        <v>0</v>
      </c>
      <c r="Z90" s="428">
        <v>0</v>
      </c>
      <c r="AA90" s="428">
        <v>0</v>
      </c>
      <c r="AB90" s="544">
        <f t="shared" si="80"/>
        <v>0</v>
      </c>
      <c r="AC90" s="266">
        <f t="shared" si="71"/>
        <v>0</v>
      </c>
      <c r="AD90" s="266"/>
      <c r="AE90" s="268">
        <f t="shared" si="30"/>
        <v>0</v>
      </c>
      <c r="AF90" s="268"/>
      <c r="AG90" s="268">
        <f t="shared" si="66"/>
        <v>0</v>
      </c>
      <c r="AH90" s="268">
        <f t="shared" si="67"/>
        <v>0</v>
      </c>
      <c r="AI90" s="268"/>
      <c r="AJ90" s="268"/>
      <c r="AK90" s="268"/>
      <c r="AL90" s="268"/>
      <c r="AM90" s="268">
        <f t="shared" si="68"/>
        <v>0</v>
      </c>
      <c r="AN90" s="268">
        <f t="shared" si="69"/>
        <v>0</v>
      </c>
    </row>
    <row r="91" spans="1:40" s="296" customFormat="1" ht="15.75" hidden="1" customHeight="1">
      <c r="A91" s="262">
        <v>80</v>
      </c>
      <c r="B91" s="262" t="s">
        <v>408</v>
      </c>
      <c r="C91" s="262"/>
      <c r="D91" s="264"/>
      <c r="E91" s="265"/>
      <c r="F91" s="265"/>
      <c r="G91" s="265"/>
      <c r="H91" s="265"/>
      <c r="I91" s="265"/>
      <c r="J91" s="266"/>
      <c r="K91" s="265"/>
      <c r="L91" s="266"/>
      <c r="M91" s="266"/>
      <c r="N91" s="266"/>
      <c r="O91" s="266"/>
      <c r="P91" s="265"/>
      <c r="Q91" s="266"/>
      <c r="R91" s="266"/>
      <c r="S91" s="266"/>
      <c r="T91" s="266"/>
      <c r="U91" s="265"/>
      <c r="V91" s="266"/>
      <c r="W91" s="269"/>
      <c r="X91" s="266"/>
      <c r="Y91" s="268">
        <f t="shared" si="70"/>
        <v>0</v>
      </c>
      <c r="Z91" s="428">
        <v>0</v>
      </c>
      <c r="AA91" s="428">
        <v>0</v>
      </c>
      <c r="AB91" s="544">
        <f t="shared" si="80"/>
        <v>0</v>
      </c>
      <c r="AC91" s="266">
        <f t="shared" si="71"/>
        <v>0</v>
      </c>
      <c r="AD91" s="266"/>
      <c r="AE91" s="268">
        <f t="shared" si="30"/>
        <v>0</v>
      </c>
      <c r="AF91" s="268"/>
      <c r="AG91" s="268">
        <f t="shared" si="66"/>
        <v>0</v>
      </c>
      <c r="AH91" s="268">
        <f t="shared" si="67"/>
        <v>0</v>
      </c>
      <c r="AI91" s="268"/>
      <c r="AJ91" s="268"/>
      <c r="AK91" s="268"/>
      <c r="AL91" s="268"/>
      <c r="AM91" s="268">
        <f t="shared" si="68"/>
        <v>0</v>
      </c>
      <c r="AN91" s="268">
        <f t="shared" si="69"/>
        <v>0</v>
      </c>
    </row>
    <row r="92" spans="1:40" s="296" customFormat="1" ht="15.75" hidden="1" customHeight="1">
      <c r="A92" s="262">
        <v>81</v>
      </c>
      <c r="B92" s="262" t="s">
        <v>409</v>
      </c>
      <c r="C92" s="262"/>
      <c r="D92" s="264"/>
      <c r="E92" s="265"/>
      <c r="F92" s="265"/>
      <c r="G92" s="265"/>
      <c r="H92" s="265"/>
      <c r="I92" s="265"/>
      <c r="J92" s="266"/>
      <c r="K92" s="265"/>
      <c r="L92" s="266"/>
      <c r="M92" s="266"/>
      <c r="N92" s="266"/>
      <c r="O92" s="266"/>
      <c r="P92" s="265"/>
      <c r="Q92" s="266"/>
      <c r="R92" s="266"/>
      <c r="S92" s="266"/>
      <c r="T92" s="266"/>
      <c r="U92" s="265"/>
      <c r="V92" s="266"/>
      <c r="W92" s="269"/>
      <c r="X92" s="266"/>
      <c r="Y92" s="268">
        <f t="shared" si="70"/>
        <v>0</v>
      </c>
      <c r="Z92" s="428">
        <v>0</v>
      </c>
      <c r="AA92" s="428">
        <v>0</v>
      </c>
      <c r="AB92" s="544">
        <f t="shared" si="80"/>
        <v>0</v>
      </c>
      <c r="AC92" s="266">
        <f t="shared" si="71"/>
        <v>0</v>
      </c>
      <c r="AD92" s="266"/>
      <c r="AE92" s="268">
        <f t="shared" si="30"/>
        <v>0</v>
      </c>
      <c r="AF92" s="268"/>
      <c r="AG92" s="268">
        <f t="shared" si="66"/>
        <v>0</v>
      </c>
      <c r="AH92" s="268">
        <f t="shared" si="67"/>
        <v>0</v>
      </c>
      <c r="AI92" s="268"/>
      <c r="AJ92" s="268"/>
      <c r="AK92" s="268"/>
      <c r="AL92" s="268"/>
      <c r="AM92" s="268">
        <f t="shared" si="68"/>
        <v>0</v>
      </c>
      <c r="AN92" s="268">
        <f t="shared" si="69"/>
        <v>0</v>
      </c>
    </row>
    <row r="93" spans="1:40" s="296" customFormat="1" ht="15.75" hidden="1" customHeight="1">
      <c r="A93" s="262">
        <v>82</v>
      </c>
      <c r="B93" s="263" t="s">
        <v>410</v>
      </c>
      <c r="C93" s="262"/>
      <c r="D93" s="264"/>
      <c r="E93" s="265"/>
      <c r="F93" s="265"/>
      <c r="G93" s="265"/>
      <c r="H93" s="265"/>
      <c r="I93" s="265"/>
      <c r="J93" s="266"/>
      <c r="K93" s="265"/>
      <c r="L93" s="266"/>
      <c r="M93" s="266"/>
      <c r="N93" s="266"/>
      <c r="O93" s="266"/>
      <c r="P93" s="265"/>
      <c r="Q93" s="266"/>
      <c r="R93" s="266"/>
      <c r="S93" s="266"/>
      <c r="T93" s="266"/>
      <c r="U93" s="265"/>
      <c r="V93" s="266"/>
      <c r="W93" s="269"/>
      <c r="X93" s="266"/>
      <c r="Y93" s="268">
        <f t="shared" si="70"/>
        <v>0</v>
      </c>
      <c r="Z93" s="428">
        <v>0</v>
      </c>
      <c r="AA93" s="428">
        <v>0</v>
      </c>
      <c r="AB93" s="544">
        <f t="shared" si="80"/>
        <v>0</v>
      </c>
      <c r="AC93" s="266">
        <f t="shared" si="71"/>
        <v>0</v>
      </c>
      <c r="AD93" s="266"/>
      <c r="AE93" s="268">
        <f t="shared" si="30"/>
        <v>0</v>
      </c>
      <c r="AF93" s="268"/>
      <c r="AG93" s="268">
        <f t="shared" si="66"/>
        <v>0</v>
      </c>
      <c r="AH93" s="268">
        <f t="shared" si="67"/>
        <v>0</v>
      </c>
      <c r="AI93" s="268"/>
      <c r="AJ93" s="268"/>
      <c r="AK93" s="268"/>
      <c r="AL93" s="268"/>
      <c r="AM93" s="268">
        <f t="shared" si="68"/>
        <v>0</v>
      </c>
      <c r="AN93" s="268">
        <f t="shared" si="69"/>
        <v>0</v>
      </c>
    </row>
    <row r="94" spans="1:40" s="296" customFormat="1" ht="30" hidden="1" customHeight="1">
      <c r="A94" s="262">
        <v>83</v>
      </c>
      <c r="B94" s="263" t="s">
        <v>411</v>
      </c>
      <c r="C94" s="262"/>
      <c r="D94" s="264"/>
      <c r="E94" s="265"/>
      <c r="F94" s="265"/>
      <c r="G94" s="265"/>
      <c r="H94" s="265"/>
      <c r="I94" s="265"/>
      <c r="J94" s="266"/>
      <c r="K94" s="265"/>
      <c r="L94" s="266"/>
      <c r="M94" s="266"/>
      <c r="N94" s="266"/>
      <c r="O94" s="266"/>
      <c r="P94" s="265"/>
      <c r="Q94" s="266"/>
      <c r="R94" s="266"/>
      <c r="S94" s="266"/>
      <c r="T94" s="266"/>
      <c r="U94" s="265"/>
      <c r="V94" s="266"/>
      <c r="W94" s="269"/>
      <c r="X94" s="266"/>
      <c r="Y94" s="268">
        <f t="shared" si="70"/>
        <v>0</v>
      </c>
      <c r="Z94" s="428">
        <v>0</v>
      </c>
      <c r="AA94" s="428">
        <v>0</v>
      </c>
      <c r="AB94" s="544">
        <f t="shared" si="80"/>
        <v>0</v>
      </c>
      <c r="AC94" s="266">
        <f t="shared" si="71"/>
        <v>0</v>
      </c>
      <c r="AD94" s="266"/>
      <c r="AE94" s="268">
        <f t="shared" si="30"/>
        <v>0</v>
      </c>
      <c r="AF94" s="268"/>
      <c r="AG94" s="268">
        <f t="shared" si="66"/>
        <v>0</v>
      </c>
      <c r="AH94" s="268">
        <f t="shared" si="67"/>
        <v>0</v>
      </c>
      <c r="AI94" s="268"/>
      <c r="AJ94" s="268"/>
      <c r="AK94" s="268"/>
      <c r="AL94" s="268"/>
      <c r="AM94" s="268">
        <f t="shared" si="68"/>
        <v>0</v>
      </c>
      <c r="AN94" s="268">
        <f t="shared" si="69"/>
        <v>0</v>
      </c>
    </row>
    <row r="95" spans="1:40" s="296" customFormat="1" ht="15.75" hidden="1" customHeight="1">
      <c r="A95" s="262">
        <v>84</v>
      </c>
      <c r="B95" s="262" t="s">
        <v>412</v>
      </c>
      <c r="C95" s="262"/>
      <c r="D95" s="264"/>
      <c r="E95" s="265"/>
      <c r="F95" s="265"/>
      <c r="G95" s="265"/>
      <c r="H95" s="265"/>
      <c r="I95" s="265"/>
      <c r="J95" s="266"/>
      <c r="K95" s="265"/>
      <c r="L95" s="266"/>
      <c r="M95" s="266"/>
      <c r="N95" s="266"/>
      <c r="O95" s="266"/>
      <c r="P95" s="265"/>
      <c r="Q95" s="266"/>
      <c r="R95" s="266"/>
      <c r="S95" s="266"/>
      <c r="T95" s="266"/>
      <c r="U95" s="265"/>
      <c r="V95" s="266"/>
      <c r="W95" s="269"/>
      <c r="X95" s="266"/>
      <c r="Y95" s="268">
        <f t="shared" si="70"/>
        <v>0</v>
      </c>
      <c r="Z95" s="428">
        <v>0</v>
      </c>
      <c r="AA95" s="428">
        <v>0</v>
      </c>
      <c r="AB95" s="544">
        <f t="shared" si="80"/>
        <v>0</v>
      </c>
      <c r="AC95" s="266">
        <f t="shared" si="71"/>
        <v>0</v>
      </c>
      <c r="AD95" s="266"/>
      <c r="AE95" s="268">
        <f t="shared" si="30"/>
        <v>0</v>
      </c>
      <c r="AF95" s="268"/>
      <c r="AG95" s="268">
        <f t="shared" si="66"/>
        <v>0</v>
      </c>
      <c r="AH95" s="268">
        <f t="shared" si="67"/>
        <v>0</v>
      </c>
      <c r="AI95" s="268"/>
      <c r="AJ95" s="268"/>
      <c r="AK95" s="268"/>
      <c r="AL95" s="268"/>
      <c r="AM95" s="268">
        <f t="shared" si="68"/>
        <v>0</v>
      </c>
      <c r="AN95" s="268">
        <f t="shared" si="69"/>
        <v>0</v>
      </c>
    </row>
    <row r="96" spans="1:40" s="296" customFormat="1" ht="15.75" hidden="1" customHeight="1">
      <c r="A96" s="262">
        <v>85</v>
      </c>
      <c r="B96" s="262" t="s">
        <v>413</v>
      </c>
      <c r="C96" s="262"/>
      <c r="D96" s="264"/>
      <c r="E96" s="265"/>
      <c r="F96" s="265"/>
      <c r="G96" s="265"/>
      <c r="H96" s="265"/>
      <c r="I96" s="265"/>
      <c r="J96" s="266"/>
      <c r="K96" s="265"/>
      <c r="L96" s="266"/>
      <c r="M96" s="266"/>
      <c r="N96" s="266"/>
      <c r="O96" s="266"/>
      <c r="P96" s="265"/>
      <c r="Q96" s="266"/>
      <c r="R96" s="266"/>
      <c r="S96" s="266"/>
      <c r="T96" s="266"/>
      <c r="U96" s="265"/>
      <c r="V96" s="266"/>
      <c r="W96" s="269"/>
      <c r="X96" s="266"/>
      <c r="Y96" s="268">
        <f t="shared" si="70"/>
        <v>0</v>
      </c>
      <c r="Z96" s="428">
        <v>0</v>
      </c>
      <c r="AA96" s="428">
        <v>0</v>
      </c>
      <c r="AB96" s="544">
        <f t="shared" si="80"/>
        <v>0</v>
      </c>
      <c r="AC96" s="266">
        <f t="shared" si="71"/>
        <v>0</v>
      </c>
      <c r="AD96" s="266"/>
      <c r="AE96" s="268">
        <f t="shared" si="30"/>
        <v>0</v>
      </c>
      <c r="AF96" s="268"/>
      <c r="AG96" s="268">
        <f t="shared" si="66"/>
        <v>0</v>
      </c>
      <c r="AH96" s="268">
        <f t="shared" si="67"/>
        <v>0</v>
      </c>
      <c r="AI96" s="268"/>
      <c r="AJ96" s="268"/>
      <c r="AK96" s="268"/>
      <c r="AL96" s="268"/>
      <c r="AM96" s="268">
        <f t="shared" si="68"/>
        <v>0</v>
      </c>
      <c r="AN96" s="268">
        <f t="shared" si="69"/>
        <v>0</v>
      </c>
    </row>
    <row r="97" spans="1:42" s="296" customFormat="1" ht="15.75" hidden="1" customHeight="1">
      <c r="A97" s="262">
        <v>86</v>
      </c>
      <c r="B97" s="279" t="s">
        <v>414</v>
      </c>
      <c r="C97" s="262"/>
      <c r="D97" s="264"/>
      <c r="E97" s="265"/>
      <c r="F97" s="265"/>
      <c r="G97" s="265"/>
      <c r="H97" s="265"/>
      <c r="I97" s="265"/>
      <c r="J97" s="266"/>
      <c r="K97" s="265"/>
      <c r="L97" s="266"/>
      <c r="M97" s="266"/>
      <c r="N97" s="266"/>
      <c r="O97" s="266"/>
      <c r="P97" s="265"/>
      <c r="Q97" s="266"/>
      <c r="R97" s="266"/>
      <c r="S97" s="266"/>
      <c r="T97" s="266"/>
      <c r="U97" s="265"/>
      <c r="V97" s="266"/>
      <c r="W97" s="269"/>
      <c r="X97" s="266"/>
      <c r="Y97" s="268">
        <f t="shared" si="70"/>
        <v>0</v>
      </c>
      <c r="Z97" s="428">
        <v>0</v>
      </c>
      <c r="AA97" s="428">
        <v>0</v>
      </c>
      <c r="AB97" s="544">
        <f t="shared" si="80"/>
        <v>0</v>
      </c>
      <c r="AC97" s="266">
        <f t="shared" si="71"/>
        <v>0</v>
      </c>
      <c r="AD97" s="266"/>
      <c r="AE97" s="268">
        <f t="shared" si="30"/>
        <v>0</v>
      </c>
      <c r="AF97" s="268"/>
      <c r="AG97" s="268">
        <f t="shared" si="66"/>
        <v>0</v>
      </c>
      <c r="AH97" s="268">
        <f t="shared" si="67"/>
        <v>0</v>
      </c>
      <c r="AI97" s="268"/>
      <c r="AJ97" s="268"/>
      <c r="AK97" s="268"/>
      <c r="AL97" s="268"/>
      <c r="AM97" s="268">
        <f t="shared" si="68"/>
        <v>0</v>
      </c>
      <c r="AN97" s="268">
        <f t="shared" si="69"/>
        <v>0</v>
      </c>
    </row>
    <row r="98" spans="1:42" s="296" customFormat="1" ht="15.75" hidden="1" customHeight="1">
      <c r="A98" s="262">
        <v>87</v>
      </c>
      <c r="B98" s="279" t="s">
        <v>415</v>
      </c>
      <c r="C98" s="262"/>
      <c r="D98" s="264"/>
      <c r="E98" s="265"/>
      <c r="F98" s="265"/>
      <c r="G98" s="265"/>
      <c r="H98" s="265"/>
      <c r="I98" s="265"/>
      <c r="J98" s="266"/>
      <c r="K98" s="265"/>
      <c r="L98" s="266"/>
      <c r="M98" s="266"/>
      <c r="N98" s="266"/>
      <c r="O98" s="266"/>
      <c r="P98" s="265"/>
      <c r="Q98" s="266"/>
      <c r="R98" s="266"/>
      <c r="S98" s="266"/>
      <c r="T98" s="266"/>
      <c r="U98" s="265"/>
      <c r="V98" s="266"/>
      <c r="W98" s="269"/>
      <c r="X98" s="266"/>
      <c r="Y98" s="268">
        <f t="shared" si="70"/>
        <v>0</v>
      </c>
      <c r="Z98" s="428">
        <v>0</v>
      </c>
      <c r="AA98" s="428">
        <v>0</v>
      </c>
      <c r="AB98" s="544">
        <f t="shared" si="80"/>
        <v>0</v>
      </c>
      <c r="AC98" s="266">
        <f t="shared" si="71"/>
        <v>0</v>
      </c>
      <c r="AD98" s="266"/>
      <c r="AE98" s="268">
        <f t="shared" si="30"/>
        <v>0</v>
      </c>
      <c r="AF98" s="268"/>
      <c r="AG98" s="268">
        <f t="shared" si="66"/>
        <v>0</v>
      </c>
      <c r="AH98" s="268">
        <f t="shared" si="67"/>
        <v>0</v>
      </c>
      <c r="AI98" s="268"/>
      <c r="AJ98" s="268"/>
      <c r="AK98" s="268"/>
      <c r="AL98" s="268"/>
      <c r="AM98" s="268">
        <f t="shared" si="68"/>
        <v>0</v>
      </c>
      <c r="AN98" s="268">
        <f t="shared" si="69"/>
        <v>0</v>
      </c>
    </row>
    <row r="99" spans="1:42" s="296" customFormat="1" ht="15.75" hidden="1" customHeight="1">
      <c r="A99" s="262">
        <v>88</v>
      </c>
      <c r="B99" s="263" t="s">
        <v>121</v>
      </c>
      <c r="C99" s="262" t="s">
        <v>122</v>
      </c>
      <c r="D99" s="264"/>
      <c r="E99" s="265"/>
      <c r="F99" s="265"/>
      <c r="G99" s="265"/>
      <c r="H99" s="265"/>
      <c r="I99" s="265"/>
      <c r="J99" s="266"/>
      <c r="K99" s="265"/>
      <c r="L99" s="266"/>
      <c r="M99" s="266"/>
      <c r="N99" s="266"/>
      <c r="O99" s="266"/>
      <c r="P99" s="265"/>
      <c r="Q99" s="266"/>
      <c r="R99" s="266"/>
      <c r="S99" s="266"/>
      <c r="T99" s="266"/>
      <c r="U99" s="265"/>
      <c r="V99" s="266"/>
      <c r="W99" s="269"/>
      <c r="X99" s="266"/>
      <c r="Y99" s="268">
        <f t="shared" si="70"/>
        <v>0</v>
      </c>
      <c r="Z99" s="428">
        <v>0</v>
      </c>
      <c r="AA99" s="428">
        <v>0</v>
      </c>
      <c r="AB99" s="544">
        <f t="shared" si="80"/>
        <v>0</v>
      </c>
      <c r="AC99" s="266">
        <f t="shared" si="71"/>
        <v>0</v>
      </c>
      <c r="AD99" s="266"/>
      <c r="AE99" s="268">
        <f t="shared" si="30"/>
        <v>0</v>
      </c>
      <c r="AF99" s="268"/>
      <c r="AG99" s="268">
        <f t="shared" si="66"/>
        <v>0</v>
      </c>
      <c r="AH99" s="268">
        <f t="shared" si="67"/>
        <v>0</v>
      </c>
      <c r="AI99" s="268"/>
      <c r="AJ99" s="268"/>
      <c r="AK99" s="268"/>
      <c r="AL99" s="268"/>
      <c r="AM99" s="268">
        <f t="shared" si="68"/>
        <v>0</v>
      </c>
      <c r="AN99" s="268">
        <f t="shared" si="69"/>
        <v>0</v>
      </c>
    </row>
    <row r="100" spans="1:42" s="296" customFormat="1" ht="15.75" hidden="1" customHeight="1">
      <c r="A100" s="262">
        <v>89</v>
      </c>
      <c r="B100" s="263" t="s">
        <v>123</v>
      </c>
      <c r="C100" s="262" t="s">
        <v>124</v>
      </c>
      <c r="D100" s="264"/>
      <c r="E100" s="265"/>
      <c r="F100" s="265"/>
      <c r="G100" s="265"/>
      <c r="H100" s="265"/>
      <c r="I100" s="265"/>
      <c r="J100" s="266"/>
      <c r="K100" s="265"/>
      <c r="L100" s="266"/>
      <c r="M100" s="266"/>
      <c r="N100" s="266"/>
      <c r="O100" s="266"/>
      <c r="P100" s="265"/>
      <c r="Q100" s="266"/>
      <c r="R100" s="266"/>
      <c r="S100" s="266"/>
      <c r="T100" s="266"/>
      <c r="U100" s="265"/>
      <c r="V100" s="266"/>
      <c r="W100" s="269"/>
      <c r="X100" s="266"/>
      <c r="Y100" s="268">
        <f t="shared" si="70"/>
        <v>0</v>
      </c>
      <c r="Z100" s="428">
        <v>0</v>
      </c>
      <c r="AA100" s="428">
        <v>0</v>
      </c>
      <c r="AB100" s="544">
        <f t="shared" si="80"/>
        <v>0</v>
      </c>
      <c r="AC100" s="266">
        <f t="shared" si="71"/>
        <v>0</v>
      </c>
      <c r="AD100" s="266"/>
      <c r="AE100" s="268">
        <f t="shared" si="30"/>
        <v>0</v>
      </c>
      <c r="AF100" s="268"/>
      <c r="AG100" s="268">
        <f t="shared" si="66"/>
        <v>0</v>
      </c>
      <c r="AH100" s="268">
        <f t="shared" si="67"/>
        <v>0</v>
      </c>
      <c r="AI100" s="268"/>
      <c r="AJ100" s="268"/>
      <c r="AK100" s="268"/>
      <c r="AL100" s="268"/>
      <c r="AM100" s="268">
        <f t="shared" si="68"/>
        <v>0</v>
      </c>
      <c r="AN100" s="268">
        <f t="shared" si="69"/>
        <v>0</v>
      </c>
    </row>
    <row r="101" spans="1:42" s="296" customFormat="1" ht="30">
      <c r="A101" s="262">
        <v>90</v>
      </c>
      <c r="B101" s="263" t="s">
        <v>810</v>
      </c>
      <c r="C101" s="262" t="s">
        <v>126</v>
      </c>
      <c r="D101" s="264"/>
      <c r="E101" s="265">
        <f>SUM(E88,E85,E83,E84)*0.27</f>
        <v>0</v>
      </c>
      <c r="F101" s="265"/>
      <c r="G101" s="265"/>
      <c r="H101" s="265"/>
      <c r="I101" s="265"/>
      <c r="J101" s="265">
        <f>SUM(J88,J85,J83,J84)*0.27</f>
        <v>0</v>
      </c>
      <c r="K101" s="265"/>
      <c r="L101" s="265"/>
      <c r="M101" s="265"/>
      <c r="N101" s="265"/>
      <c r="O101" s="265">
        <v>0</v>
      </c>
      <c r="P101" s="265"/>
      <c r="Q101" s="265"/>
      <c r="R101" s="265">
        <f>R88*0.27</f>
        <v>884717.64</v>
      </c>
      <c r="S101" s="265">
        <v>37365</v>
      </c>
      <c r="T101" s="265">
        <f>SUM(T88,T85,T83,T84)*0.27</f>
        <v>0</v>
      </c>
      <c r="U101" s="265"/>
      <c r="V101" s="265"/>
      <c r="W101" s="267"/>
      <c r="X101" s="265"/>
      <c r="Y101" s="268">
        <f t="shared" si="70"/>
        <v>0</v>
      </c>
      <c r="Z101" s="428">
        <v>0</v>
      </c>
      <c r="AA101" s="428">
        <v>0</v>
      </c>
      <c r="AB101" s="544">
        <f t="shared" si="80"/>
        <v>37755</v>
      </c>
      <c r="AC101" s="266">
        <f t="shared" si="71"/>
        <v>37755</v>
      </c>
      <c r="AD101" s="542">
        <v>37755</v>
      </c>
      <c r="AE101" s="268">
        <f t="shared" si="30"/>
        <v>37365</v>
      </c>
      <c r="AF101" s="268">
        <v>37365</v>
      </c>
      <c r="AG101" s="268">
        <f t="shared" si="66"/>
        <v>884717.64</v>
      </c>
      <c r="AH101" s="268">
        <f t="shared" si="67"/>
        <v>884717.64</v>
      </c>
      <c r="AI101" s="268">
        <v>0</v>
      </c>
      <c r="AJ101" s="268"/>
      <c r="AK101" s="268"/>
      <c r="AL101" s="268"/>
      <c r="AM101" s="268">
        <f t="shared" si="68"/>
        <v>0</v>
      </c>
      <c r="AN101" s="268">
        <f t="shared" si="69"/>
        <v>884717.64</v>
      </c>
    </row>
    <row r="102" spans="1:42" s="277" customFormat="1">
      <c r="A102" s="1483" t="s">
        <v>416</v>
      </c>
      <c r="B102" s="1483"/>
      <c r="C102" s="1483"/>
      <c r="D102" s="304">
        <f>SUM(D83:D85,D88,D99:D101)</f>
        <v>300000</v>
      </c>
      <c r="E102" s="305">
        <f t="shared" ref="E102:X102" si="82">SUM(E83:E85,E88,E99:E101)</f>
        <v>0</v>
      </c>
      <c r="F102" s="305">
        <f t="shared" si="82"/>
        <v>0</v>
      </c>
      <c r="G102" s="305">
        <f t="shared" si="82"/>
        <v>0</v>
      </c>
      <c r="H102" s="305"/>
      <c r="I102" s="305">
        <f t="shared" si="82"/>
        <v>0</v>
      </c>
      <c r="J102" s="305">
        <f t="shared" si="82"/>
        <v>0</v>
      </c>
      <c r="K102" s="305">
        <f t="shared" si="82"/>
        <v>0</v>
      </c>
      <c r="L102" s="305">
        <f t="shared" si="82"/>
        <v>0</v>
      </c>
      <c r="M102" s="305"/>
      <c r="N102" s="305">
        <f t="shared" si="82"/>
        <v>0</v>
      </c>
      <c r="O102" s="305">
        <f t="shared" si="82"/>
        <v>300000</v>
      </c>
      <c r="P102" s="305">
        <f t="shared" si="82"/>
        <v>0</v>
      </c>
      <c r="Q102" s="305">
        <f t="shared" si="82"/>
        <v>0</v>
      </c>
      <c r="R102" s="305">
        <f>R85+R88+R101</f>
        <v>4161449.64</v>
      </c>
      <c r="S102" s="305">
        <f t="shared" si="82"/>
        <v>175756</v>
      </c>
      <c r="T102" s="305">
        <f t="shared" si="82"/>
        <v>0</v>
      </c>
      <c r="U102" s="305">
        <f t="shared" si="82"/>
        <v>0</v>
      </c>
      <c r="V102" s="305">
        <f t="shared" si="82"/>
        <v>0</v>
      </c>
      <c r="W102" s="306"/>
      <c r="X102" s="305">
        <f t="shared" si="82"/>
        <v>0</v>
      </c>
      <c r="Y102" s="305">
        <f>SUM(Y83:Y85,Y88,Y99:Y101)</f>
        <v>300000</v>
      </c>
      <c r="Z102" s="305">
        <f t="shared" ref="Z102:AD102" si="83">SUM(Z83:Z85,Z88,Z99:Z101)</f>
        <v>0</v>
      </c>
      <c r="AA102" s="305">
        <f t="shared" si="83"/>
        <v>0</v>
      </c>
      <c r="AB102" s="307">
        <f t="shared" si="83"/>
        <v>-65000</v>
      </c>
      <c r="AC102" s="305">
        <f t="shared" si="83"/>
        <v>235000</v>
      </c>
      <c r="AD102" s="305">
        <f t="shared" si="83"/>
        <v>235000</v>
      </c>
      <c r="AE102" s="276">
        <f t="shared" ref="AE102:AE107" si="84">SUM(I102,N102,S102,X102)</f>
        <v>175756</v>
      </c>
      <c r="AF102" s="276">
        <f>AF85+AF88+AF101</f>
        <v>213756</v>
      </c>
      <c r="AG102" s="276">
        <f t="shared" si="66"/>
        <v>4161449.64</v>
      </c>
      <c r="AH102" s="276">
        <f>AH85+AH88+AH101</f>
        <v>5531900.6399999997</v>
      </c>
      <c r="AI102" s="268">
        <v>0</v>
      </c>
      <c r="AJ102" s="268"/>
      <c r="AK102" s="276">
        <f>SUM(AK85:AK101)</f>
        <v>0</v>
      </c>
      <c r="AL102" s="276"/>
      <c r="AM102" s="276">
        <f t="shared" si="68"/>
        <v>0</v>
      </c>
      <c r="AN102" s="276">
        <f t="shared" si="69"/>
        <v>5531900.6399999997</v>
      </c>
    </row>
    <row r="103" spans="1:42" s="277" customFormat="1" ht="15.75" hidden="1" customHeight="1">
      <c r="A103" s="308">
        <v>91</v>
      </c>
      <c r="B103" s="309" t="s">
        <v>129</v>
      </c>
      <c r="C103" s="308" t="s">
        <v>130</v>
      </c>
      <c r="D103" s="310"/>
      <c r="E103" s="311"/>
      <c r="F103" s="311"/>
      <c r="G103" s="311"/>
      <c r="H103" s="311"/>
      <c r="I103" s="311"/>
      <c r="J103" s="311"/>
      <c r="K103" s="311"/>
      <c r="L103" s="311"/>
      <c r="M103" s="311"/>
      <c r="N103" s="311"/>
      <c r="O103" s="311"/>
      <c r="P103" s="311"/>
      <c r="Q103" s="311"/>
      <c r="R103" s="311"/>
      <c r="S103" s="311"/>
      <c r="T103" s="311"/>
      <c r="U103" s="311"/>
      <c r="V103" s="311"/>
      <c r="W103" s="275"/>
      <c r="X103" s="311"/>
      <c r="Y103" s="311"/>
      <c r="Z103" s="311"/>
      <c r="AA103" s="311"/>
      <c r="AB103" s="545">
        <f>AD103-Y103</f>
        <v>0</v>
      </c>
      <c r="AC103" s="439">
        <f t="shared" si="71"/>
        <v>0</v>
      </c>
      <c r="AD103" s="439"/>
      <c r="AE103" s="276">
        <f t="shared" si="84"/>
        <v>0</v>
      </c>
      <c r="AF103" s="276"/>
      <c r="AG103" s="276">
        <f t="shared" si="66"/>
        <v>0</v>
      </c>
      <c r="AH103" s="268">
        <f t="shared" si="67"/>
        <v>0</v>
      </c>
      <c r="AI103" s="268"/>
      <c r="AJ103" s="268"/>
      <c r="AK103" s="268"/>
      <c r="AL103" s="268"/>
      <c r="AM103" s="268">
        <f t="shared" si="68"/>
        <v>0</v>
      </c>
      <c r="AN103" s="268">
        <f t="shared" si="69"/>
        <v>0</v>
      </c>
    </row>
    <row r="104" spans="1:42" s="277" customFormat="1" ht="15.75" hidden="1" customHeight="1">
      <c r="A104" s="308">
        <v>92</v>
      </c>
      <c r="B104" s="309" t="s">
        <v>131</v>
      </c>
      <c r="C104" s="308" t="s">
        <v>132</v>
      </c>
      <c r="D104" s="310"/>
      <c r="E104" s="311"/>
      <c r="F104" s="311"/>
      <c r="G104" s="311"/>
      <c r="H104" s="311"/>
      <c r="I104" s="311"/>
      <c r="J104" s="311"/>
      <c r="K104" s="311"/>
      <c r="L104" s="311"/>
      <c r="M104" s="311"/>
      <c r="N104" s="311"/>
      <c r="O104" s="311"/>
      <c r="P104" s="311"/>
      <c r="Q104" s="311"/>
      <c r="R104" s="311"/>
      <c r="S104" s="311"/>
      <c r="T104" s="311"/>
      <c r="U104" s="311"/>
      <c r="V104" s="311"/>
      <c r="W104" s="275"/>
      <c r="X104" s="311"/>
      <c r="Y104" s="311"/>
      <c r="Z104" s="311"/>
      <c r="AA104" s="311"/>
      <c r="AB104" s="545">
        <f>AD104-Y104</f>
        <v>0</v>
      </c>
      <c r="AC104" s="439">
        <f t="shared" si="71"/>
        <v>0</v>
      </c>
      <c r="AD104" s="439"/>
      <c r="AE104" s="276">
        <f t="shared" si="84"/>
        <v>0</v>
      </c>
      <c r="AF104" s="276"/>
      <c r="AG104" s="276">
        <f t="shared" si="66"/>
        <v>0</v>
      </c>
      <c r="AH104" s="268">
        <f t="shared" si="67"/>
        <v>0</v>
      </c>
      <c r="AI104" s="268"/>
      <c r="AJ104" s="268"/>
      <c r="AK104" s="268"/>
      <c r="AL104" s="268"/>
      <c r="AM104" s="268">
        <f t="shared" si="68"/>
        <v>0</v>
      </c>
      <c r="AN104" s="268">
        <f t="shared" si="69"/>
        <v>0</v>
      </c>
    </row>
    <row r="105" spans="1:42" s="277" customFormat="1" ht="15.75" hidden="1" customHeight="1">
      <c r="A105" s="308">
        <v>93</v>
      </c>
      <c r="B105" s="309" t="s">
        <v>417</v>
      </c>
      <c r="C105" s="308" t="s">
        <v>134</v>
      </c>
      <c r="D105" s="310"/>
      <c r="E105" s="311"/>
      <c r="F105" s="311"/>
      <c r="G105" s="311"/>
      <c r="H105" s="311"/>
      <c r="I105" s="311"/>
      <c r="J105" s="311"/>
      <c r="K105" s="311"/>
      <c r="L105" s="311"/>
      <c r="M105" s="311"/>
      <c r="N105" s="311"/>
      <c r="O105" s="311"/>
      <c r="P105" s="311"/>
      <c r="Q105" s="311"/>
      <c r="R105" s="311"/>
      <c r="S105" s="311"/>
      <c r="T105" s="311"/>
      <c r="U105" s="311"/>
      <c r="V105" s="311"/>
      <c r="W105" s="275"/>
      <c r="X105" s="311"/>
      <c r="Y105" s="311"/>
      <c r="Z105" s="311"/>
      <c r="AA105" s="311"/>
      <c r="AB105" s="545">
        <f>AD105-Y105</f>
        <v>0</v>
      </c>
      <c r="AC105" s="439">
        <f t="shared" si="71"/>
        <v>0</v>
      </c>
      <c r="AD105" s="439"/>
      <c r="AE105" s="276">
        <f t="shared" si="84"/>
        <v>0</v>
      </c>
      <c r="AF105" s="276"/>
      <c r="AG105" s="276">
        <f t="shared" si="66"/>
        <v>0</v>
      </c>
      <c r="AH105" s="268">
        <f t="shared" si="67"/>
        <v>0</v>
      </c>
      <c r="AI105" s="268"/>
      <c r="AJ105" s="268"/>
      <c r="AK105" s="268"/>
      <c r="AL105" s="268"/>
      <c r="AM105" s="268">
        <f t="shared" si="68"/>
        <v>0</v>
      </c>
      <c r="AN105" s="268">
        <f t="shared" si="69"/>
        <v>0</v>
      </c>
    </row>
    <row r="106" spans="1:42" s="277" customFormat="1" ht="29.25" hidden="1" customHeight="1">
      <c r="A106" s="308">
        <v>94</v>
      </c>
      <c r="B106" s="309" t="s">
        <v>418</v>
      </c>
      <c r="C106" s="308" t="s">
        <v>136</v>
      </c>
      <c r="D106" s="310"/>
      <c r="E106" s="311"/>
      <c r="F106" s="311"/>
      <c r="G106" s="311"/>
      <c r="H106" s="311"/>
      <c r="I106" s="311"/>
      <c r="J106" s="311"/>
      <c r="K106" s="311"/>
      <c r="L106" s="311"/>
      <c r="M106" s="311"/>
      <c r="N106" s="311"/>
      <c r="O106" s="311"/>
      <c r="P106" s="311"/>
      <c r="Q106" s="311"/>
      <c r="R106" s="311"/>
      <c r="S106" s="311"/>
      <c r="T106" s="311"/>
      <c r="U106" s="311"/>
      <c r="V106" s="311"/>
      <c r="W106" s="275"/>
      <c r="X106" s="311"/>
      <c r="Y106" s="311"/>
      <c r="Z106" s="311"/>
      <c r="AA106" s="311"/>
      <c r="AB106" s="545">
        <f>AD106-Y106</f>
        <v>0</v>
      </c>
      <c r="AC106" s="439">
        <f t="shared" si="71"/>
        <v>0</v>
      </c>
      <c r="AD106" s="439"/>
      <c r="AE106" s="276">
        <f t="shared" si="84"/>
        <v>0</v>
      </c>
      <c r="AF106" s="276"/>
      <c r="AG106" s="276">
        <f t="shared" si="66"/>
        <v>0</v>
      </c>
      <c r="AH106" s="268">
        <f t="shared" si="67"/>
        <v>0</v>
      </c>
      <c r="AI106" s="268"/>
      <c r="AJ106" s="268"/>
      <c r="AK106" s="268"/>
      <c r="AL106" s="268"/>
      <c r="AM106" s="268">
        <f t="shared" si="68"/>
        <v>0</v>
      </c>
      <c r="AN106" s="268">
        <f t="shared" si="69"/>
        <v>0</v>
      </c>
    </row>
    <row r="107" spans="1:42" s="277" customFormat="1">
      <c r="A107" s="1269" t="s">
        <v>419</v>
      </c>
      <c r="B107" s="1269"/>
      <c r="C107" s="1269"/>
      <c r="D107" s="304">
        <f t="shared" ref="D107:AA107" si="85">SUM(D103:D106)</f>
        <v>0</v>
      </c>
      <c r="E107" s="305">
        <f t="shared" si="85"/>
        <v>0</v>
      </c>
      <c r="F107" s="305">
        <f t="shared" si="85"/>
        <v>0</v>
      </c>
      <c r="G107" s="305">
        <f t="shared" si="85"/>
        <v>0</v>
      </c>
      <c r="H107" s="305"/>
      <c r="I107" s="305">
        <f t="shared" si="85"/>
        <v>0</v>
      </c>
      <c r="J107" s="305">
        <f t="shared" si="85"/>
        <v>0</v>
      </c>
      <c r="K107" s="305">
        <f t="shared" si="85"/>
        <v>0</v>
      </c>
      <c r="L107" s="305">
        <f t="shared" si="85"/>
        <v>0</v>
      </c>
      <c r="M107" s="305"/>
      <c r="N107" s="305">
        <f t="shared" si="85"/>
        <v>0</v>
      </c>
      <c r="O107" s="305">
        <f t="shared" si="85"/>
        <v>0</v>
      </c>
      <c r="P107" s="305">
        <f t="shared" si="85"/>
        <v>0</v>
      </c>
      <c r="Q107" s="305">
        <f t="shared" si="85"/>
        <v>0</v>
      </c>
      <c r="R107" s="305">
        <f>SUM(R103:R106)</f>
        <v>0</v>
      </c>
      <c r="S107" s="305">
        <f t="shared" si="85"/>
        <v>0</v>
      </c>
      <c r="T107" s="305">
        <f t="shared" si="85"/>
        <v>0</v>
      </c>
      <c r="U107" s="305">
        <f t="shared" si="85"/>
        <v>0</v>
      </c>
      <c r="V107" s="305">
        <f t="shared" si="85"/>
        <v>0</v>
      </c>
      <c r="W107" s="306"/>
      <c r="X107" s="305">
        <f t="shared" si="85"/>
        <v>0</v>
      </c>
      <c r="Y107" s="305">
        <f t="shared" si="85"/>
        <v>0</v>
      </c>
      <c r="Z107" s="305">
        <f t="shared" si="85"/>
        <v>0</v>
      </c>
      <c r="AA107" s="305">
        <f t="shared" si="85"/>
        <v>0</v>
      </c>
      <c r="AB107" s="545">
        <f>AD107-Y107</f>
        <v>0</v>
      </c>
      <c r="AC107" s="439">
        <f t="shared" si="71"/>
        <v>0</v>
      </c>
      <c r="AD107" s="439"/>
      <c r="AE107" s="276">
        <f t="shared" si="84"/>
        <v>0</v>
      </c>
      <c r="AF107" s="276"/>
      <c r="AG107" s="276">
        <f t="shared" si="66"/>
        <v>0</v>
      </c>
      <c r="AH107" s="268">
        <f t="shared" si="67"/>
        <v>0</v>
      </c>
      <c r="AI107" s="268">
        <v>0</v>
      </c>
      <c r="AJ107" s="268"/>
      <c r="AK107" s="268">
        <v>0</v>
      </c>
      <c r="AL107" s="268"/>
      <c r="AM107" s="268">
        <f t="shared" si="68"/>
        <v>0</v>
      </c>
      <c r="AN107" s="268"/>
    </row>
    <row r="108" spans="1:42" s="403" customFormat="1" ht="21">
      <c r="A108" s="1477" t="s">
        <v>420</v>
      </c>
      <c r="B108" s="1477"/>
      <c r="C108" s="1477"/>
      <c r="D108" s="298">
        <f>SUM(D27,D82,D102,D107)</f>
        <v>54405747</v>
      </c>
      <c r="E108" s="312">
        <f>SUM(E27,E82,E102,E107)</f>
        <v>23208892</v>
      </c>
      <c r="F108" s="312">
        <f t="shared" ref="F108:X108" si="86">SUM(F27,F82,F102,F107)</f>
        <v>23312265</v>
      </c>
      <c r="G108" s="312">
        <f t="shared" si="86"/>
        <v>16177823</v>
      </c>
      <c r="H108" s="312">
        <f>SUM(H27,H82,H102,H107)</f>
        <v>20728255</v>
      </c>
      <c r="I108" s="312">
        <f t="shared" si="86"/>
        <v>21899739.989999998</v>
      </c>
      <c r="J108" s="312">
        <f t="shared" si="86"/>
        <v>17069370.225000001</v>
      </c>
      <c r="K108" s="312">
        <f t="shared" si="86"/>
        <v>27255889.454999998</v>
      </c>
      <c r="L108" s="312">
        <f t="shared" si="86"/>
        <v>17318187.274999999</v>
      </c>
      <c r="M108" s="312">
        <f>SUM(M27,M82,M102,M107)</f>
        <v>26888109</v>
      </c>
      <c r="N108" s="312">
        <f t="shared" si="86"/>
        <v>13609532.640000001</v>
      </c>
      <c r="O108" s="312">
        <f t="shared" si="86"/>
        <v>9168163.75</v>
      </c>
      <c r="P108" s="312">
        <f t="shared" si="86"/>
        <v>9756501.75</v>
      </c>
      <c r="Q108" s="312">
        <f t="shared" si="86"/>
        <v>2757087</v>
      </c>
      <c r="R108" s="312">
        <f>SUM(R27,R82,R102,R107)</f>
        <v>15944144.640000001</v>
      </c>
      <c r="S108" s="312">
        <f t="shared" si="86"/>
        <v>3223542</v>
      </c>
      <c r="T108" s="312">
        <f t="shared" si="86"/>
        <v>4167321.25</v>
      </c>
      <c r="U108" s="312">
        <f t="shared" si="86"/>
        <v>4263073.75</v>
      </c>
      <c r="V108" s="312">
        <f t="shared" si="86"/>
        <v>2801547.7149999999</v>
      </c>
      <c r="W108" s="313">
        <f>SUM(W27,W82,W102,W107)</f>
        <v>4443146</v>
      </c>
      <c r="X108" s="312">
        <f t="shared" si="86"/>
        <v>3227566</v>
      </c>
      <c r="Y108" s="312">
        <f>SUM(Y27,Y82,Y102,Y107)</f>
        <v>53613747.225000001</v>
      </c>
      <c r="Z108" s="312">
        <f t="shared" ref="Z108:AE108" si="87">SUM(Z27,Z82,Z102,Z107)</f>
        <v>61198960</v>
      </c>
      <c r="AA108" s="312">
        <f t="shared" si="87"/>
        <v>61630903</v>
      </c>
      <c r="AB108" s="314">
        <f t="shared" si="87"/>
        <v>2232507.7750000004</v>
      </c>
      <c r="AC108" s="312">
        <f t="shared" si="87"/>
        <v>55846255</v>
      </c>
      <c r="AD108" s="312">
        <f t="shared" si="87"/>
        <v>6060267</v>
      </c>
      <c r="AE108" s="312">
        <f t="shared" si="87"/>
        <v>41960380.629999995</v>
      </c>
      <c r="AF108" s="312">
        <f>SUM(AF27,AF82,AF102,AF107)</f>
        <v>48099921</v>
      </c>
      <c r="AG108" s="312">
        <f>SUM(AG27,AG82,AG102,AG107)</f>
        <v>68003654.640000001</v>
      </c>
      <c r="AH108" s="312">
        <f>SUM(AH27,AH82,AH102,AH107)</f>
        <v>69374105.640000001</v>
      </c>
      <c r="AI108" s="312">
        <f>AI107+AI102+AI82+AI27</f>
        <v>14361987</v>
      </c>
      <c r="AJ108" s="312">
        <f>AJ107+AJ102+AJ82+AJ27</f>
        <v>7927771</v>
      </c>
      <c r="AK108" s="312">
        <f>AK107+AK102+AK82+AK27</f>
        <v>2307872</v>
      </c>
      <c r="AL108" s="312">
        <f>AL107+AL102+AL82+AL27</f>
        <v>2419753</v>
      </c>
      <c r="AM108" s="312">
        <f>AI108+AJ108+AK108+AL108</f>
        <v>27017383</v>
      </c>
      <c r="AN108" s="312">
        <f t="shared" si="69"/>
        <v>42356722.640000001</v>
      </c>
      <c r="AO108" s="998"/>
      <c r="AP108" s="998"/>
    </row>
    <row r="109" spans="1:42" ht="20.25">
      <c r="A109" s="1477" t="s">
        <v>141</v>
      </c>
      <c r="B109" s="1477"/>
      <c r="C109" s="1477"/>
      <c r="D109" s="1477"/>
      <c r="E109" s="1477"/>
      <c r="F109" s="1477"/>
      <c r="G109" s="1477"/>
      <c r="H109" s="1477"/>
      <c r="I109" s="1477"/>
      <c r="J109" s="1477"/>
      <c r="K109" s="1477"/>
      <c r="L109" s="1477"/>
      <c r="M109" s="1477"/>
      <c r="N109" s="1477"/>
      <c r="O109" s="1477"/>
      <c r="P109" s="1477"/>
      <c r="Q109" s="1477"/>
      <c r="R109" s="1477"/>
      <c r="S109" s="1477"/>
      <c r="T109" s="1477"/>
      <c r="U109" s="1477"/>
      <c r="V109" s="1477"/>
      <c r="W109" s="1477"/>
      <c r="X109" s="1477"/>
      <c r="Y109" s="1477"/>
      <c r="Z109" s="262"/>
      <c r="AA109" s="262"/>
      <c r="AB109" s="544">
        <f>AD109-Y109</f>
        <v>0</v>
      </c>
      <c r="AC109" s="266">
        <f t="shared" si="71"/>
        <v>0</v>
      </c>
      <c r="AD109" s="266"/>
      <c r="AE109" s="276">
        <f>SUM(I109,N109,S109,X109)</f>
        <v>0</v>
      </c>
      <c r="AF109" s="276"/>
      <c r="AG109" s="276">
        <f t="shared" ref="AG109:AG119" si="88">H109+M109+R109+W109</f>
        <v>0</v>
      </c>
      <c r="AH109" s="268">
        <f t="shared" si="67"/>
        <v>0</v>
      </c>
      <c r="AI109" s="268"/>
      <c r="AJ109" s="268"/>
      <c r="AK109" s="268"/>
      <c r="AL109" s="268"/>
      <c r="AM109" s="268">
        <f t="shared" si="68"/>
        <v>0</v>
      </c>
      <c r="AN109" s="268">
        <f t="shared" si="69"/>
        <v>0</v>
      </c>
    </row>
    <row r="110" spans="1:42" ht="20.25">
      <c r="A110" s="525"/>
      <c r="B110" s="547" t="s">
        <v>669</v>
      </c>
      <c r="C110" s="525"/>
      <c r="D110" s="525"/>
      <c r="E110" s="525"/>
      <c r="F110" s="548">
        <v>451945</v>
      </c>
      <c r="G110" s="548">
        <v>451945</v>
      </c>
      <c r="H110" s="548"/>
      <c r="I110" s="548"/>
      <c r="J110" s="525"/>
      <c r="K110" s="525"/>
      <c r="L110" s="525"/>
      <c r="M110" s="525"/>
      <c r="N110" s="525"/>
      <c r="O110" s="525"/>
      <c r="P110" s="525"/>
      <c r="Q110" s="525"/>
      <c r="R110" s="525"/>
      <c r="S110" s="525"/>
      <c r="T110" s="525"/>
      <c r="U110" s="525"/>
      <c r="V110" s="525"/>
      <c r="W110" s="554"/>
      <c r="X110" s="525"/>
      <c r="Y110" s="276">
        <f t="shared" ref="Y110:Y113" si="89">SUM(E110,J110,O110,T110)</f>
        <v>0</v>
      </c>
      <c r="Z110" s="262">
        <v>0</v>
      </c>
      <c r="AA110" s="262">
        <v>451945</v>
      </c>
      <c r="AB110" s="544">
        <f>AD110-Y110</f>
        <v>0</v>
      </c>
      <c r="AC110" s="266">
        <f t="shared" si="71"/>
        <v>0</v>
      </c>
      <c r="AD110" s="266"/>
      <c r="AE110" s="276">
        <f>SUM(I110,N110,S110,X110)</f>
        <v>0</v>
      </c>
      <c r="AF110" s="276"/>
      <c r="AG110" s="276">
        <f t="shared" si="88"/>
        <v>0</v>
      </c>
      <c r="AH110" s="268">
        <f t="shared" si="67"/>
        <v>0</v>
      </c>
      <c r="AI110" s="268"/>
      <c r="AJ110" s="268"/>
      <c r="AK110" s="268"/>
      <c r="AL110" s="268"/>
      <c r="AM110" s="268">
        <f t="shared" si="68"/>
        <v>0</v>
      </c>
      <c r="AN110" s="268">
        <f t="shared" si="69"/>
        <v>0</v>
      </c>
    </row>
    <row r="111" spans="1:42">
      <c r="A111" s="262">
        <v>95</v>
      </c>
      <c r="B111" s="263" t="s">
        <v>812</v>
      </c>
      <c r="C111" s="278" t="s">
        <v>466</v>
      </c>
      <c r="D111" s="286"/>
      <c r="E111" s="265"/>
      <c r="F111" s="265">
        <f>E111</f>
        <v>0</v>
      </c>
      <c r="G111" s="265"/>
      <c r="H111" s="265"/>
      <c r="I111" s="265"/>
      <c r="J111" s="266"/>
      <c r="K111" s="265">
        <f>J111</f>
        <v>0</v>
      </c>
      <c r="L111" s="266"/>
      <c r="M111" s="266"/>
      <c r="N111" s="266"/>
      <c r="O111" s="266"/>
      <c r="P111" s="265">
        <f>O111</f>
        <v>0</v>
      </c>
      <c r="Q111" s="266"/>
      <c r="R111" s="266"/>
      <c r="S111" s="266">
        <v>5156</v>
      </c>
      <c r="T111" s="266"/>
      <c r="U111" s="265">
        <f>T111</f>
        <v>0</v>
      </c>
      <c r="V111" s="266"/>
      <c r="W111" s="269"/>
      <c r="X111" s="266"/>
      <c r="Y111" s="276">
        <f t="shared" si="89"/>
        <v>0</v>
      </c>
      <c r="Z111" s="262">
        <v>0</v>
      </c>
      <c r="AA111" s="262">
        <v>0</v>
      </c>
      <c r="AB111" s="430">
        <f>AD111-Y111</f>
        <v>0</v>
      </c>
      <c r="AC111" s="266">
        <f t="shared" si="71"/>
        <v>0</v>
      </c>
      <c r="AD111" s="266"/>
      <c r="AE111" s="276">
        <f>SUM(I111,N111,S111,X111)</f>
        <v>5156</v>
      </c>
      <c r="AF111" s="276"/>
      <c r="AG111" s="276">
        <f t="shared" si="88"/>
        <v>0</v>
      </c>
      <c r="AH111" s="268">
        <f t="shared" si="67"/>
        <v>0</v>
      </c>
      <c r="AI111" s="268"/>
      <c r="AJ111" s="268"/>
      <c r="AK111" s="268">
        <v>2167</v>
      </c>
      <c r="AL111" s="268"/>
      <c r="AM111" s="268">
        <f t="shared" si="68"/>
        <v>2167</v>
      </c>
      <c r="AN111" s="268">
        <f t="shared" si="69"/>
        <v>-2167</v>
      </c>
    </row>
    <row r="112" spans="1:42">
      <c r="A112" s="262">
        <v>96</v>
      </c>
      <c r="B112" s="279" t="s">
        <v>422</v>
      </c>
      <c r="C112" s="278" t="s">
        <v>423</v>
      </c>
      <c r="D112" s="286"/>
      <c r="E112" s="264"/>
      <c r="F112" s="265">
        <f t="shared" ref="F112:F117" si="90">E112</f>
        <v>0</v>
      </c>
      <c r="G112" s="264"/>
      <c r="H112" s="264"/>
      <c r="I112" s="264"/>
      <c r="J112" s="262"/>
      <c r="K112" s="265">
        <f t="shared" ref="K112:K117" si="91">J112</f>
        <v>0</v>
      </c>
      <c r="L112" s="262"/>
      <c r="M112" s="262"/>
      <c r="N112" s="262"/>
      <c r="O112" s="262"/>
      <c r="P112" s="265">
        <f t="shared" ref="P112:P117" si="92">O112</f>
        <v>0</v>
      </c>
      <c r="Q112" s="262"/>
      <c r="R112" s="262"/>
      <c r="S112" s="262"/>
      <c r="T112" s="266"/>
      <c r="U112" s="265">
        <f t="shared" ref="U112:U117" si="93">T112</f>
        <v>0</v>
      </c>
      <c r="V112" s="266"/>
      <c r="W112" s="269"/>
      <c r="X112" s="266"/>
      <c r="Y112" s="276">
        <f t="shared" si="89"/>
        <v>0</v>
      </c>
      <c r="Z112" s="262">
        <v>0</v>
      </c>
      <c r="AA112" s="262">
        <v>0</v>
      </c>
      <c r="AB112" s="430">
        <f>AD112-Y112</f>
        <v>0</v>
      </c>
      <c r="AC112" s="266">
        <f t="shared" si="71"/>
        <v>0</v>
      </c>
      <c r="AD112" s="266"/>
      <c r="AE112" s="276">
        <f>SUM(I112,N112,S112,X112)</f>
        <v>0</v>
      </c>
      <c r="AF112" s="276"/>
      <c r="AG112" s="276">
        <f t="shared" si="88"/>
        <v>0</v>
      </c>
      <c r="AH112" s="268">
        <f t="shared" si="67"/>
        <v>0</v>
      </c>
      <c r="AI112" s="268"/>
      <c r="AJ112" s="268"/>
      <c r="AK112" s="268"/>
      <c r="AL112" s="268"/>
      <c r="AM112" s="268">
        <f t="shared" si="68"/>
        <v>0</v>
      </c>
      <c r="AN112" s="268">
        <f t="shared" si="69"/>
        <v>0</v>
      </c>
    </row>
    <row r="113" spans="1:40">
      <c r="A113" s="262">
        <v>97</v>
      </c>
      <c r="B113" s="279" t="s">
        <v>144</v>
      </c>
      <c r="C113" s="278" t="s">
        <v>145</v>
      </c>
      <c r="D113" s="286"/>
      <c r="E113" s="264"/>
      <c r="F113" s="265">
        <f t="shared" si="90"/>
        <v>0</v>
      </c>
      <c r="G113" s="264"/>
      <c r="H113" s="264"/>
      <c r="I113" s="264"/>
      <c r="J113" s="262"/>
      <c r="K113" s="265">
        <f t="shared" si="91"/>
        <v>0</v>
      </c>
      <c r="L113" s="262"/>
      <c r="M113" s="262"/>
      <c r="N113" s="262"/>
      <c r="O113" s="262"/>
      <c r="P113" s="265">
        <f t="shared" si="92"/>
        <v>0</v>
      </c>
      <c r="Q113" s="262"/>
      <c r="R113" s="262"/>
      <c r="S113" s="262"/>
      <c r="T113" s="266"/>
      <c r="U113" s="265">
        <f t="shared" si="93"/>
        <v>0</v>
      </c>
      <c r="V113" s="266"/>
      <c r="W113" s="269"/>
      <c r="X113" s="266"/>
      <c r="Y113" s="276">
        <f t="shared" si="89"/>
        <v>0</v>
      </c>
      <c r="Z113" s="262">
        <v>0</v>
      </c>
      <c r="AA113" s="262">
        <v>0</v>
      </c>
      <c r="AB113" s="430">
        <f>AD113-Y113</f>
        <v>0</v>
      </c>
      <c r="AC113" s="266">
        <f t="shared" si="71"/>
        <v>0</v>
      </c>
      <c r="AD113" s="266"/>
      <c r="AE113" s="276">
        <f>SUM(I113,N113,S113,X113)</f>
        <v>0</v>
      </c>
      <c r="AF113" s="276"/>
      <c r="AG113" s="276">
        <f t="shared" si="88"/>
        <v>0</v>
      </c>
      <c r="AH113" s="268">
        <v>1370451</v>
      </c>
      <c r="AI113" s="268"/>
      <c r="AJ113" s="268"/>
      <c r="AK113" s="268"/>
      <c r="AL113" s="268"/>
      <c r="AM113" s="276">
        <v>1370451</v>
      </c>
      <c r="AN113" s="276">
        <f t="shared" si="69"/>
        <v>0</v>
      </c>
    </row>
    <row r="114" spans="1:40" s="404" customFormat="1">
      <c r="A114" s="549">
        <v>98</v>
      </c>
      <c r="B114" s="290" t="s">
        <v>146</v>
      </c>
      <c r="C114" s="289" t="s">
        <v>147</v>
      </c>
      <c r="D114" s="291">
        <f>SUM(D115:D117)</f>
        <v>54405747</v>
      </c>
      <c r="E114" s="304">
        <f t="shared" ref="E114:AA114" si="94">SUM(E115:E117)</f>
        <v>23208892</v>
      </c>
      <c r="F114" s="304">
        <f t="shared" si="94"/>
        <v>23208892</v>
      </c>
      <c r="G114" s="304">
        <f t="shared" si="94"/>
        <v>16177823</v>
      </c>
      <c r="H114" s="304">
        <f>SUM(H115:H117)</f>
        <v>0</v>
      </c>
      <c r="I114" s="304">
        <f t="shared" si="94"/>
        <v>22905663.100000001</v>
      </c>
      <c r="J114" s="304">
        <f t="shared" si="94"/>
        <v>17632718</v>
      </c>
      <c r="K114" s="304">
        <f t="shared" si="94"/>
        <v>17632718</v>
      </c>
      <c r="L114" s="304">
        <f t="shared" si="94"/>
        <v>18725390.5</v>
      </c>
      <c r="M114" s="304">
        <f>SUM(M115:M117)</f>
        <v>3246400</v>
      </c>
      <c r="N114" s="304">
        <f t="shared" si="94"/>
        <v>14235720.1</v>
      </c>
      <c r="O114" s="304" t="e">
        <f t="shared" si="94"/>
        <v>#REF!</v>
      </c>
      <c r="P114" s="304" t="e">
        <f t="shared" si="94"/>
        <v>#REF!</v>
      </c>
      <c r="Q114" s="304" t="e">
        <f t="shared" si="94"/>
        <v>#REF!</v>
      </c>
      <c r="R114" s="304">
        <f>SUM(R115:R117)</f>
        <v>64757254.640000001</v>
      </c>
      <c r="S114" s="304" t="e">
        <f t="shared" si="94"/>
        <v>#REF!</v>
      </c>
      <c r="T114" s="304">
        <f t="shared" si="94"/>
        <v>4293111</v>
      </c>
      <c r="U114" s="304">
        <f t="shared" si="94"/>
        <v>4293111</v>
      </c>
      <c r="V114" s="304">
        <f t="shared" si="94"/>
        <v>2951144</v>
      </c>
      <c r="W114" s="292">
        <f>SUM(W115:W117)</f>
        <v>0</v>
      </c>
      <c r="X114" s="304">
        <f t="shared" si="94"/>
        <v>3227566</v>
      </c>
      <c r="Y114" s="304" t="e">
        <f t="shared" si="94"/>
        <v>#REF!</v>
      </c>
      <c r="Z114" s="304">
        <f t="shared" si="94"/>
        <v>61198960</v>
      </c>
      <c r="AA114" s="304">
        <f t="shared" si="94"/>
        <v>61198960</v>
      </c>
      <c r="AB114" s="550" t="e">
        <f>AD114-Y114+AB115+AB116+AB117</f>
        <v>#REF!</v>
      </c>
      <c r="AC114" s="551" t="e">
        <f t="shared" si="71"/>
        <v>#REF!</v>
      </c>
      <c r="AD114" s="551">
        <v>54405747</v>
      </c>
      <c r="AE114" s="276" t="e">
        <f>SUM(AE115:AE117)</f>
        <v>#REF!</v>
      </c>
      <c r="AF114" s="276"/>
      <c r="AG114" s="276">
        <f t="shared" si="88"/>
        <v>68003654.640000001</v>
      </c>
      <c r="AH114" s="268">
        <f t="shared" si="67"/>
        <v>68003654.640000001</v>
      </c>
      <c r="AI114" s="268"/>
      <c r="AJ114" s="268"/>
      <c r="AK114" s="268"/>
      <c r="AL114" s="268"/>
      <c r="AM114" s="276"/>
      <c r="AN114" s="276">
        <f t="shared" si="69"/>
        <v>68003654.640000001</v>
      </c>
    </row>
    <row r="115" spans="1:40">
      <c r="A115" s="262">
        <v>99</v>
      </c>
      <c r="B115" s="287" t="s">
        <v>424</v>
      </c>
      <c r="C115" s="278"/>
      <c r="D115" s="286">
        <v>4874057</v>
      </c>
      <c r="E115" s="270"/>
      <c r="F115" s="552">
        <f t="shared" si="90"/>
        <v>0</v>
      </c>
      <c r="G115" s="270"/>
      <c r="H115" s="270"/>
      <c r="I115" s="270"/>
      <c r="J115" s="553"/>
      <c r="K115" s="552">
        <f t="shared" si="91"/>
        <v>0</v>
      </c>
      <c r="L115" s="553"/>
      <c r="M115" s="553"/>
      <c r="N115" s="553"/>
      <c r="O115" s="270" t="e">
        <f>SUM('[2]Normatíva 2022'!G32:G33)-969943</f>
        <v>#REF!</v>
      </c>
      <c r="P115" s="552" t="e">
        <f t="shared" si="92"/>
        <v>#REF!</v>
      </c>
      <c r="Q115" s="270" t="e">
        <f>P115*0.75</f>
        <v>#REF!</v>
      </c>
      <c r="R115" s="270"/>
      <c r="S115" s="270" t="e">
        <f>O115*0.83</f>
        <v>#REF!</v>
      </c>
      <c r="T115" s="270"/>
      <c r="U115" s="265">
        <f t="shared" si="93"/>
        <v>0</v>
      </c>
      <c r="V115" s="264"/>
      <c r="W115" s="280"/>
      <c r="X115" s="264"/>
      <c r="Y115" s="276" t="e">
        <f t="shared" ref="Y115:Y117" si="95">SUM(E115,J115,O115,T115)</f>
        <v>#REF!</v>
      </c>
      <c r="Z115" s="262">
        <v>4874057</v>
      </c>
      <c r="AA115" s="262">
        <v>4874057</v>
      </c>
      <c r="AB115" s="430" t="e">
        <f>AD115-Y115</f>
        <v>#REF!</v>
      </c>
      <c r="AC115" s="266" t="e">
        <f t="shared" si="71"/>
        <v>#REF!</v>
      </c>
      <c r="AD115" s="266">
        <v>4874057</v>
      </c>
      <c r="AE115" s="276" t="e">
        <f>SUM(I115,N115,S115,X115)</f>
        <v>#REF!</v>
      </c>
      <c r="AF115" s="276"/>
      <c r="AG115" s="276">
        <f t="shared" si="88"/>
        <v>0</v>
      </c>
      <c r="AH115" s="268">
        <f t="shared" si="67"/>
        <v>0</v>
      </c>
      <c r="AI115" s="268"/>
      <c r="AJ115" s="268"/>
      <c r="AK115" s="268"/>
      <c r="AL115" s="268"/>
      <c r="AM115" s="268">
        <f t="shared" si="68"/>
        <v>0</v>
      </c>
      <c r="AN115" s="268">
        <f t="shared" si="69"/>
        <v>0</v>
      </c>
    </row>
    <row r="116" spans="1:40">
      <c r="A116" s="262">
        <v>100</v>
      </c>
      <c r="B116" s="287" t="s">
        <v>425</v>
      </c>
      <c r="C116" s="278"/>
      <c r="D116" s="286">
        <v>39305940</v>
      </c>
      <c r="E116" s="270">
        <f>17151470+1203000</f>
        <v>18354470</v>
      </c>
      <c r="F116" s="552">
        <f t="shared" si="90"/>
        <v>18354470</v>
      </c>
      <c r="G116" s="270">
        <v>14789310</v>
      </c>
      <c r="H116" s="270"/>
      <c r="I116" s="270">
        <f>E116*0.83</f>
        <v>15234210.1</v>
      </c>
      <c r="J116" s="270">
        <v>17151470</v>
      </c>
      <c r="K116" s="552">
        <f t="shared" si="91"/>
        <v>17151470</v>
      </c>
      <c r="L116" s="270">
        <f>K116*0.75</f>
        <v>12863602.5</v>
      </c>
      <c r="M116" s="270">
        <f>SUM(Normatíva2022!E35)</f>
        <v>3246400</v>
      </c>
      <c r="N116" s="270">
        <f>J116*0.83</f>
        <v>14235720.1</v>
      </c>
      <c r="O116" s="553"/>
      <c r="P116" s="552">
        <f t="shared" si="92"/>
        <v>0</v>
      </c>
      <c r="Q116" s="553"/>
      <c r="R116" s="270">
        <f>SUM(Normatíva2022!E38)</f>
        <v>67722710</v>
      </c>
      <c r="S116" s="553"/>
      <c r="T116" s="270">
        <f>1900000*2</f>
        <v>3800000</v>
      </c>
      <c r="U116" s="265">
        <f t="shared" si="93"/>
        <v>3800000</v>
      </c>
      <c r="V116" s="264">
        <f>U116*0.75</f>
        <v>2850000</v>
      </c>
      <c r="W116" s="280">
        <v>0</v>
      </c>
      <c r="X116" s="264">
        <f>T116*0.83</f>
        <v>3154000</v>
      </c>
      <c r="Y116" s="276">
        <f t="shared" si="95"/>
        <v>39305940</v>
      </c>
      <c r="Z116" s="262">
        <v>39305940</v>
      </c>
      <c r="AA116" s="262">
        <v>39305940</v>
      </c>
      <c r="AB116" s="430">
        <f>AD116-Y116</f>
        <v>0</v>
      </c>
      <c r="AC116" s="266">
        <f t="shared" si="71"/>
        <v>39305940</v>
      </c>
      <c r="AD116" s="266">
        <v>39305940</v>
      </c>
      <c r="AE116" s="276">
        <f>SUM(I116,N116,S116,X116)</f>
        <v>32623930.199999999</v>
      </c>
      <c r="AF116" s="276"/>
      <c r="AG116" s="276">
        <f t="shared" si="88"/>
        <v>70969110</v>
      </c>
      <c r="AH116" s="268">
        <f t="shared" si="67"/>
        <v>70969110</v>
      </c>
      <c r="AI116" s="268"/>
      <c r="AJ116" s="268"/>
      <c r="AK116" s="268"/>
      <c r="AL116" s="268"/>
      <c r="AM116" s="268">
        <f t="shared" si="68"/>
        <v>0</v>
      </c>
      <c r="AN116" s="268">
        <f t="shared" si="69"/>
        <v>70969110</v>
      </c>
    </row>
    <row r="117" spans="1:40">
      <c r="A117" s="262">
        <v>101</v>
      </c>
      <c r="B117" s="287" t="s">
        <v>426</v>
      </c>
      <c r="C117" s="278"/>
      <c r="D117" s="286">
        <v>10225750</v>
      </c>
      <c r="E117" s="270">
        <v>4854422</v>
      </c>
      <c r="F117" s="552">
        <f t="shared" si="90"/>
        <v>4854422</v>
      </c>
      <c r="G117" s="270">
        <v>1388513</v>
      </c>
      <c r="H117" s="270"/>
      <c r="I117" s="270">
        <v>7671453</v>
      </c>
      <c r="J117" s="270">
        <v>481248</v>
      </c>
      <c r="K117" s="552">
        <f t="shared" si="91"/>
        <v>481248</v>
      </c>
      <c r="L117" s="270">
        <v>5861788</v>
      </c>
      <c r="M117" s="270"/>
      <c r="N117" s="270"/>
      <c r="O117" s="270">
        <f>4396969</f>
        <v>4396969</v>
      </c>
      <c r="P117" s="552">
        <f t="shared" si="92"/>
        <v>4396969</v>
      </c>
      <c r="Q117" s="270"/>
      <c r="R117" s="270">
        <f>AG108-R113-R116-M116</f>
        <v>-2965455.3599999994</v>
      </c>
      <c r="S117" s="270">
        <v>989664</v>
      </c>
      <c r="T117" s="270">
        <v>493111</v>
      </c>
      <c r="U117" s="265">
        <f t="shared" si="93"/>
        <v>493111</v>
      </c>
      <c r="V117" s="264">
        <v>101144</v>
      </c>
      <c r="W117" s="280"/>
      <c r="X117" s="264">
        <v>73566</v>
      </c>
      <c r="Y117" s="276">
        <f t="shared" si="95"/>
        <v>10225750</v>
      </c>
      <c r="Z117" s="262">
        <v>17018963</v>
      </c>
      <c r="AA117" s="262">
        <v>17018963</v>
      </c>
      <c r="AB117" s="430">
        <f>AD117-Y117+947607+492901</f>
        <v>1440508</v>
      </c>
      <c r="AC117" s="266">
        <f t="shared" si="71"/>
        <v>11666258</v>
      </c>
      <c r="AD117" s="266">
        <v>10225750</v>
      </c>
      <c r="AE117" s="276">
        <f>SUM(I117,N117,S117,X117)</f>
        <v>8734683</v>
      </c>
      <c r="AF117" s="276"/>
      <c r="AG117" s="276">
        <f>H117+M117+R117+W117</f>
        <v>-2965455.3599999994</v>
      </c>
      <c r="AH117" s="268">
        <f t="shared" si="67"/>
        <v>-2965455.3599999994</v>
      </c>
      <c r="AI117" s="268"/>
      <c r="AJ117" s="268"/>
      <c r="AK117" s="268"/>
      <c r="AL117" s="268"/>
      <c r="AM117" s="268">
        <f t="shared" si="68"/>
        <v>0</v>
      </c>
      <c r="AN117" s="268">
        <f t="shared" si="69"/>
        <v>-2965455.3599999994</v>
      </c>
    </row>
    <row r="118" spans="1:40" s="403" customFormat="1" ht="21">
      <c r="A118" s="1477" t="s">
        <v>148</v>
      </c>
      <c r="B118" s="1477"/>
      <c r="C118" s="1477"/>
      <c r="D118" s="298">
        <f t="shared" ref="D118:E118" si="96">SUM(D111:D114)</f>
        <v>54405747</v>
      </c>
      <c r="E118" s="312">
        <f t="shared" si="96"/>
        <v>23208892</v>
      </c>
      <c r="F118" s="312">
        <f t="shared" ref="F118:X118" si="97">SUM(F111:F114)</f>
        <v>23208892</v>
      </c>
      <c r="G118" s="312">
        <f t="shared" si="97"/>
        <v>16177823</v>
      </c>
      <c r="H118" s="312">
        <f t="shared" si="97"/>
        <v>0</v>
      </c>
      <c r="I118" s="312">
        <f t="shared" si="97"/>
        <v>22905663.100000001</v>
      </c>
      <c r="J118" s="312">
        <f t="shared" si="97"/>
        <v>17632718</v>
      </c>
      <c r="K118" s="312">
        <f t="shared" si="97"/>
        <v>17632718</v>
      </c>
      <c r="L118" s="312">
        <f t="shared" si="97"/>
        <v>18725390.5</v>
      </c>
      <c r="M118" s="312">
        <f t="shared" si="97"/>
        <v>3246400</v>
      </c>
      <c r="N118" s="312">
        <f t="shared" si="97"/>
        <v>14235720.1</v>
      </c>
      <c r="O118" s="312" t="e">
        <f t="shared" si="97"/>
        <v>#REF!</v>
      </c>
      <c r="P118" s="312" t="e">
        <f t="shared" si="97"/>
        <v>#REF!</v>
      </c>
      <c r="Q118" s="312" t="e">
        <f t="shared" si="97"/>
        <v>#REF!</v>
      </c>
      <c r="R118" s="312">
        <f t="shared" si="97"/>
        <v>64757254.640000001</v>
      </c>
      <c r="S118" s="312" t="e">
        <f t="shared" si="97"/>
        <v>#REF!</v>
      </c>
      <c r="T118" s="312">
        <f t="shared" si="97"/>
        <v>4293111</v>
      </c>
      <c r="U118" s="312">
        <f t="shared" si="97"/>
        <v>4293111</v>
      </c>
      <c r="V118" s="312">
        <f t="shared" si="97"/>
        <v>2951144</v>
      </c>
      <c r="W118" s="313">
        <f t="shared" si="97"/>
        <v>0</v>
      </c>
      <c r="X118" s="312">
        <f t="shared" si="97"/>
        <v>3227566</v>
      </c>
      <c r="Y118" s="312" t="e">
        <f>SUM(Y111:Y114)</f>
        <v>#REF!</v>
      </c>
      <c r="Z118" s="312">
        <f t="shared" ref="Z118:AE118" si="98">SUM(Z111:Z114)</f>
        <v>61198960</v>
      </c>
      <c r="AA118" s="312">
        <f t="shared" si="98"/>
        <v>61198960</v>
      </c>
      <c r="AB118" s="314" t="e">
        <f t="shared" si="98"/>
        <v>#REF!</v>
      </c>
      <c r="AC118" s="312" t="e">
        <f t="shared" si="98"/>
        <v>#REF!</v>
      </c>
      <c r="AD118" s="312">
        <f t="shared" si="98"/>
        <v>54405747</v>
      </c>
      <c r="AE118" s="312" t="e">
        <f t="shared" si="98"/>
        <v>#REF!</v>
      </c>
      <c r="AF118" s="312"/>
      <c r="AG118" s="312">
        <f>H118+M118+R118+W118</f>
        <v>68003654.640000001</v>
      </c>
      <c r="AH118" s="268">
        <f>SUM(AG118)</f>
        <v>68003654.640000001</v>
      </c>
      <c r="AI118" s="268"/>
      <c r="AJ118" s="268"/>
      <c r="AK118" s="268"/>
      <c r="AL118" s="268"/>
      <c r="AM118" s="312">
        <f>SUM(AM110:AM117)</f>
        <v>1372618</v>
      </c>
      <c r="AN118" s="312">
        <f t="shared" si="69"/>
        <v>66631036.640000001</v>
      </c>
    </row>
    <row r="119" spans="1:40" s="405" customFormat="1" ht="21">
      <c r="A119" s="1478" t="s">
        <v>813</v>
      </c>
      <c r="B119" s="1478"/>
      <c r="C119" s="1478"/>
      <c r="D119" s="299">
        <f>D118-D108</f>
        <v>0</v>
      </c>
      <c r="E119" s="299">
        <f t="shared" ref="E119:AE119" si="99">E118-E108</f>
        <v>0</v>
      </c>
      <c r="F119" s="299">
        <f t="shared" si="99"/>
        <v>-103373</v>
      </c>
      <c r="G119" s="299">
        <f t="shared" si="99"/>
        <v>0</v>
      </c>
      <c r="H119" s="299">
        <f t="shared" si="99"/>
        <v>-20728255</v>
      </c>
      <c r="I119" s="299">
        <f t="shared" si="99"/>
        <v>1005923.1100000031</v>
      </c>
      <c r="J119" s="299">
        <f t="shared" si="99"/>
        <v>563347.77499999851</v>
      </c>
      <c r="K119" s="299">
        <f t="shared" si="99"/>
        <v>-9623171.4549999982</v>
      </c>
      <c r="L119" s="299">
        <f t="shared" si="99"/>
        <v>1407203.2250000015</v>
      </c>
      <c r="M119" s="299">
        <f t="shared" si="99"/>
        <v>-23641709</v>
      </c>
      <c r="N119" s="299">
        <f t="shared" si="99"/>
        <v>626187.45999999903</v>
      </c>
      <c r="O119" s="299" t="e">
        <f t="shared" si="99"/>
        <v>#REF!</v>
      </c>
      <c r="P119" s="299" t="e">
        <f t="shared" si="99"/>
        <v>#REF!</v>
      </c>
      <c r="Q119" s="299" t="e">
        <f t="shared" si="99"/>
        <v>#REF!</v>
      </c>
      <c r="R119" s="299">
        <f t="shared" si="99"/>
        <v>48813110</v>
      </c>
      <c r="S119" s="299" t="e">
        <f t="shared" si="99"/>
        <v>#REF!</v>
      </c>
      <c r="T119" s="299">
        <f t="shared" si="99"/>
        <v>125789.75</v>
      </c>
      <c r="U119" s="299">
        <f t="shared" si="99"/>
        <v>30037.25</v>
      </c>
      <c r="V119" s="299">
        <f t="shared" si="99"/>
        <v>149596.28500000015</v>
      </c>
      <c r="W119" s="299">
        <f>W118-W108</f>
        <v>-4443146</v>
      </c>
      <c r="X119" s="299">
        <f t="shared" si="99"/>
        <v>0</v>
      </c>
      <c r="Y119" s="299" t="e">
        <f t="shared" si="99"/>
        <v>#REF!</v>
      </c>
      <c r="Z119" s="299">
        <f t="shared" si="99"/>
        <v>0</v>
      </c>
      <c r="AA119" s="299">
        <f t="shared" si="99"/>
        <v>-431943</v>
      </c>
      <c r="AB119" s="555" t="e">
        <f>AD119-Y119</f>
        <v>#REF!</v>
      </c>
      <c r="AC119" s="299" t="e">
        <f t="shared" si="99"/>
        <v>#REF!</v>
      </c>
      <c r="AD119" s="299"/>
      <c r="AE119" s="299" t="e">
        <f t="shared" si="99"/>
        <v>#REF!</v>
      </c>
      <c r="AF119" s="299"/>
      <c r="AG119" s="316">
        <f t="shared" si="88"/>
        <v>0</v>
      </c>
      <c r="AH119" s="268">
        <f t="shared" si="67"/>
        <v>0</v>
      </c>
      <c r="AI119" s="268"/>
      <c r="AJ119" s="268"/>
      <c r="AK119" s="268"/>
      <c r="AL119" s="268"/>
      <c r="AM119" s="268">
        <f>AM118-AM108</f>
        <v>-25644765</v>
      </c>
      <c r="AN119" s="268">
        <f t="shared" si="69"/>
        <v>25644765</v>
      </c>
    </row>
  </sheetData>
  <mergeCells count="56">
    <mergeCell ref="A107:C107"/>
    <mergeCell ref="A108:C108"/>
    <mergeCell ref="A109:Y109"/>
    <mergeCell ref="I5:I6"/>
    <mergeCell ref="J5:J6"/>
    <mergeCell ref="L5:L6"/>
    <mergeCell ref="P5:P6"/>
    <mergeCell ref="D4:D6"/>
    <mergeCell ref="J2:AG2"/>
    <mergeCell ref="E3:Y3"/>
    <mergeCell ref="A4:A7"/>
    <mergeCell ref="B4:B7"/>
    <mergeCell ref="C4:C7"/>
    <mergeCell ref="E4:I4"/>
    <mergeCell ref="J4:N4"/>
    <mergeCell ref="O4:S4"/>
    <mergeCell ref="T4:X4"/>
    <mergeCell ref="Y4:AG4"/>
    <mergeCell ref="S5:S6"/>
    <mergeCell ref="T5:T6"/>
    <mergeCell ref="U5:U6"/>
    <mergeCell ref="K5:K6"/>
    <mergeCell ref="N5:N6"/>
    <mergeCell ref="Q5:Q6"/>
    <mergeCell ref="AH4:AN4"/>
    <mergeCell ref="H5:H7"/>
    <mergeCell ref="M5:M7"/>
    <mergeCell ref="R5:R7"/>
    <mergeCell ref="V5:V6"/>
    <mergeCell ref="W5:W7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7"/>
    <mergeCell ref="A118:C118"/>
    <mergeCell ref="A119:C119"/>
    <mergeCell ref="AM5:AM7"/>
    <mergeCell ref="AN5:AN7"/>
    <mergeCell ref="A27:C27"/>
    <mergeCell ref="A82:B82"/>
    <mergeCell ref="A102:C102"/>
    <mergeCell ref="AH5:AH7"/>
    <mergeCell ref="AI5:AI6"/>
    <mergeCell ref="AJ5:AJ6"/>
    <mergeCell ref="AK5:AK6"/>
    <mergeCell ref="AL5:AL6"/>
    <mergeCell ref="O5:O6"/>
    <mergeCell ref="E5:E6"/>
    <mergeCell ref="F5:F6"/>
    <mergeCell ref="G5:G6"/>
  </mergeCells>
  <pageMargins left="0.25" right="0.25" top="0.75" bottom="0.75" header="0.3" footer="0.3"/>
  <pageSetup paperSize="8" scale="4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N22"/>
  <sheetViews>
    <sheetView workbookViewId="0">
      <selection activeCell="B9" sqref="B9"/>
    </sheetView>
  </sheetViews>
  <sheetFormatPr defaultRowHeight="15"/>
  <cols>
    <col min="1" max="1" width="29.28515625" customWidth="1"/>
    <col min="2" max="2" width="14.28515625" customWidth="1"/>
    <col min="3" max="3" width="15.28515625" customWidth="1"/>
    <col min="4" max="4" width="15" customWidth="1"/>
    <col min="5" max="5" width="14.5703125" customWidth="1"/>
    <col min="6" max="6" width="15.85546875" customWidth="1"/>
    <col min="7" max="7" width="20" customWidth="1"/>
    <col min="8" max="8" width="13.85546875" customWidth="1"/>
    <col min="9" max="9" width="14.140625" customWidth="1"/>
    <col min="10" max="11" width="13.5703125" customWidth="1"/>
    <col min="12" max="12" width="13.85546875" customWidth="1"/>
    <col min="13" max="13" width="13.7109375" customWidth="1"/>
    <col min="14" max="14" width="16.42578125" customWidth="1"/>
  </cols>
  <sheetData>
    <row r="1" spans="1:14">
      <c r="A1" s="1342" t="s">
        <v>628</v>
      </c>
      <c r="B1" s="1342"/>
      <c r="C1" s="1342"/>
      <c r="D1" s="1342"/>
      <c r="E1" s="1342"/>
      <c r="F1" s="1342"/>
      <c r="G1" s="1342"/>
      <c r="H1" s="1342"/>
    </row>
    <row r="3" spans="1:14">
      <c r="B3" s="1517" t="s">
        <v>629</v>
      </c>
      <c r="C3" s="1517"/>
      <c r="D3" s="1517"/>
      <c r="E3" s="1517"/>
      <c r="F3" s="1517"/>
      <c r="G3" s="1517"/>
      <c r="H3" s="1517"/>
      <c r="I3" s="1517"/>
      <c r="J3" s="1517"/>
      <c r="K3" s="1517"/>
    </row>
    <row r="4" spans="1:14" ht="15.75" thickBot="1">
      <c r="N4" t="s">
        <v>307</v>
      </c>
    </row>
    <row r="5" spans="1:14">
      <c r="A5" s="144" t="s">
        <v>378</v>
      </c>
      <c r="B5" s="145" t="s">
        <v>541</v>
      </c>
      <c r="C5" s="145" t="s">
        <v>542</v>
      </c>
      <c r="D5" s="145" t="s">
        <v>543</v>
      </c>
      <c r="E5" s="145" t="s">
        <v>544</v>
      </c>
      <c r="F5" s="145" t="s">
        <v>545</v>
      </c>
      <c r="G5" s="145" t="s">
        <v>546</v>
      </c>
      <c r="H5" s="145" t="s">
        <v>547</v>
      </c>
      <c r="I5" s="145" t="s">
        <v>548</v>
      </c>
      <c r="J5" s="145" t="s">
        <v>549</v>
      </c>
      <c r="K5" s="145" t="s">
        <v>550</v>
      </c>
      <c r="L5" s="145" t="s">
        <v>551</v>
      </c>
      <c r="M5" s="145" t="s">
        <v>552</v>
      </c>
      <c r="N5" s="146" t="s">
        <v>553</v>
      </c>
    </row>
    <row r="6" spans="1:14">
      <c r="A6" s="1518" t="s">
        <v>554</v>
      </c>
      <c r="B6" s="1519"/>
      <c r="C6" s="1519"/>
      <c r="D6" s="1519"/>
      <c r="E6" s="1519"/>
      <c r="F6" s="1519"/>
      <c r="G6" s="1519"/>
      <c r="H6" s="1519"/>
      <c r="I6" s="1519"/>
      <c r="J6" s="1519"/>
      <c r="K6" s="1519"/>
      <c r="L6" s="1519"/>
      <c r="M6" s="1519"/>
      <c r="N6" s="1520"/>
    </row>
    <row r="7" spans="1:14">
      <c r="A7" s="1514" t="s">
        <v>555</v>
      </c>
      <c r="B7" s="1515"/>
      <c r="C7" s="1515"/>
      <c r="D7" s="1515"/>
      <c r="E7" s="1515"/>
      <c r="F7" s="1515"/>
      <c r="G7" s="1515"/>
      <c r="H7" s="1515"/>
      <c r="I7" s="1515"/>
      <c r="J7" s="1515"/>
      <c r="K7" s="1515"/>
      <c r="L7" s="1515"/>
      <c r="M7" s="1515"/>
      <c r="N7" s="1516"/>
    </row>
    <row r="8" spans="1:14" ht="26.25">
      <c r="A8" s="147" t="s">
        <v>556</v>
      </c>
      <c r="B8" s="148">
        <f>Normatíva2022!E52/12+Normatíva2022!E53+12+Normatíva2022!E57+12</f>
        <v>30351564.083333336</v>
      </c>
      <c r="C8" s="148">
        <f>B8</f>
        <v>30351564.083333336</v>
      </c>
      <c r="D8" s="148">
        <f t="shared" ref="D8:M10" si="0">C8</f>
        <v>30351564.083333336</v>
      </c>
      <c r="E8" s="148">
        <f t="shared" si="0"/>
        <v>30351564.083333336</v>
      </c>
      <c r="F8" s="148">
        <f t="shared" si="0"/>
        <v>30351564.083333336</v>
      </c>
      <c r="G8" s="148">
        <f t="shared" si="0"/>
        <v>30351564.083333336</v>
      </c>
      <c r="H8" s="148">
        <f t="shared" si="0"/>
        <v>30351564.083333336</v>
      </c>
      <c r="I8" s="148">
        <f t="shared" si="0"/>
        <v>30351564.083333336</v>
      </c>
      <c r="J8" s="148">
        <f t="shared" si="0"/>
        <v>30351564.083333336</v>
      </c>
      <c r="K8" s="148">
        <f t="shared" si="0"/>
        <v>30351564.083333336</v>
      </c>
      <c r="L8" s="148">
        <f t="shared" si="0"/>
        <v>30351564.083333336</v>
      </c>
      <c r="M8" s="148">
        <f t="shared" si="0"/>
        <v>30351564.083333336</v>
      </c>
      <c r="N8" s="149">
        <f>SUM(B8:M8)</f>
        <v>364218769</v>
      </c>
    </row>
    <row r="9" spans="1:14" ht="58.5" customHeight="1">
      <c r="A9" s="147" t="s">
        <v>557</v>
      </c>
      <c r="B9" s="150">
        <f>'Mérleg szintű ÖK'!C23/5</f>
        <v>57246700.600000001</v>
      </c>
      <c r="C9" s="150">
        <f>B9</f>
        <v>57246700.600000001</v>
      </c>
      <c r="D9" s="150">
        <f t="shared" si="0"/>
        <v>57246700.600000001</v>
      </c>
      <c r="E9" s="150">
        <f t="shared" si="0"/>
        <v>57246700.600000001</v>
      </c>
      <c r="F9" s="150">
        <f t="shared" si="0"/>
        <v>57246700.600000001</v>
      </c>
      <c r="G9" s="150"/>
      <c r="H9" s="150"/>
      <c r="I9" s="150"/>
      <c r="J9" s="150"/>
      <c r="K9" s="151"/>
      <c r="L9" s="151"/>
      <c r="M9" s="151"/>
      <c r="N9" s="149">
        <f t="shared" ref="N9" si="1">SUM(B9:M9)</f>
        <v>286233503</v>
      </c>
    </row>
    <row r="10" spans="1:14">
      <c r="A10" s="147" t="s">
        <v>558</v>
      </c>
      <c r="B10" s="148">
        <f>'Intézményi összesen'!M19/12</f>
        <v>9950941.9700000007</v>
      </c>
      <c r="C10" s="148">
        <f>B10</f>
        <v>9950941.9700000007</v>
      </c>
      <c r="D10" s="148">
        <f t="shared" si="0"/>
        <v>9950941.9700000007</v>
      </c>
      <c r="E10" s="148">
        <f t="shared" si="0"/>
        <v>9950941.9700000007</v>
      </c>
      <c r="F10" s="148">
        <f t="shared" si="0"/>
        <v>9950941.9700000007</v>
      </c>
      <c r="G10" s="148">
        <f t="shared" si="0"/>
        <v>9950941.9700000007</v>
      </c>
      <c r="H10" s="148">
        <f t="shared" si="0"/>
        <v>9950941.9700000007</v>
      </c>
      <c r="I10" s="148">
        <f t="shared" si="0"/>
        <v>9950941.9700000007</v>
      </c>
      <c r="J10" s="148">
        <f t="shared" si="0"/>
        <v>9950941.9700000007</v>
      </c>
      <c r="K10" s="148">
        <f t="shared" si="0"/>
        <v>9950941.9700000007</v>
      </c>
      <c r="L10" s="148">
        <f t="shared" si="0"/>
        <v>9950941.9700000007</v>
      </c>
      <c r="M10" s="148">
        <f t="shared" si="0"/>
        <v>9950941.9700000007</v>
      </c>
      <c r="N10" s="149">
        <f>SUM(B10:M10)</f>
        <v>119411303.64</v>
      </c>
    </row>
    <row r="11" spans="1:14">
      <c r="A11" s="152" t="s">
        <v>559</v>
      </c>
      <c r="B11" s="153">
        <f>SUM(B8:B10)</f>
        <v>97549206.653333336</v>
      </c>
      <c r="C11" s="153">
        <f t="shared" ref="C11:N11" si="2">SUM(C8:C10)</f>
        <v>97549206.653333336</v>
      </c>
      <c r="D11" s="153">
        <f t="shared" si="2"/>
        <v>97549206.653333336</v>
      </c>
      <c r="E11" s="153">
        <f t="shared" si="2"/>
        <v>97549206.653333336</v>
      </c>
      <c r="F11" s="153">
        <f t="shared" si="2"/>
        <v>97549206.653333336</v>
      </c>
      <c r="G11" s="153">
        <f t="shared" si="2"/>
        <v>40302506.053333335</v>
      </c>
      <c r="H11" s="153">
        <f t="shared" si="2"/>
        <v>40302506.053333335</v>
      </c>
      <c r="I11" s="153">
        <f t="shared" si="2"/>
        <v>40302506.053333335</v>
      </c>
      <c r="J11" s="153">
        <f t="shared" si="2"/>
        <v>40302506.053333335</v>
      </c>
      <c r="K11" s="153">
        <f t="shared" si="2"/>
        <v>40302506.053333335</v>
      </c>
      <c r="L11" s="153">
        <f t="shared" si="2"/>
        <v>40302506.053333335</v>
      </c>
      <c r="M11" s="153">
        <f t="shared" si="2"/>
        <v>40302506.053333335</v>
      </c>
      <c r="N11" s="153">
        <f t="shared" si="2"/>
        <v>769863575.63999999</v>
      </c>
    </row>
    <row r="12" spans="1:14">
      <c r="A12" s="1518" t="s">
        <v>560</v>
      </c>
      <c r="B12" s="1519"/>
      <c r="C12" s="1519"/>
      <c r="D12" s="1519"/>
      <c r="E12" s="1519"/>
      <c r="F12" s="1519"/>
      <c r="G12" s="1519"/>
      <c r="H12" s="1519"/>
      <c r="I12" s="1519"/>
      <c r="J12" s="1519"/>
      <c r="K12" s="1519"/>
      <c r="L12" s="1519"/>
      <c r="M12" s="1519"/>
      <c r="N12" s="1520"/>
    </row>
    <row r="13" spans="1:14">
      <c r="A13" s="1514" t="s">
        <v>561</v>
      </c>
      <c r="B13" s="1515"/>
      <c r="C13" s="1515"/>
      <c r="D13" s="1515"/>
      <c r="E13" s="1515"/>
      <c r="F13" s="1515"/>
      <c r="G13" s="1515"/>
      <c r="H13" s="1515"/>
      <c r="I13" s="1515"/>
      <c r="J13" s="1515"/>
      <c r="K13" s="1515"/>
      <c r="L13" s="1515"/>
      <c r="M13" s="1515"/>
      <c r="N13" s="1516"/>
    </row>
    <row r="14" spans="1:14">
      <c r="A14" s="147" t="s">
        <v>562</v>
      </c>
      <c r="B14" s="148">
        <f>'Mérleg szintű ÖK'!I10/12</f>
        <v>6123627.333333333</v>
      </c>
      <c r="C14" s="148">
        <f>B14</f>
        <v>6123627.333333333</v>
      </c>
      <c r="D14" s="148">
        <f t="shared" ref="D14:M14" si="3">C14</f>
        <v>6123627.333333333</v>
      </c>
      <c r="E14" s="148">
        <f t="shared" si="3"/>
        <v>6123627.333333333</v>
      </c>
      <c r="F14" s="148">
        <f t="shared" si="3"/>
        <v>6123627.333333333</v>
      </c>
      <c r="G14" s="148">
        <f>F14</f>
        <v>6123627.333333333</v>
      </c>
      <c r="H14" s="148">
        <f t="shared" si="3"/>
        <v>6123627.333333333</v>
      </c>
      <c r="I14" s="148">
        <f t="shared" si="3"/>
        <v>6123627.333333333</v>
      </c>
      <c r="J14" s="148">
        <f t="shared" si="3"/>
        <v>6123627.333333333</v>
      </c>
      <c r="K14" s="148">
        <f t="shared" si="3"/>
        <v>6123627.333333333</v>
      </c>
      <c r="L14" s="148">
        <f t="shared" si="3"/>
        <v>6123627.333333333</v>
      </c>
      <c r="M14" s="148">
        <f t="shared" si="3"/>
        <v>6123627.333333333</v>
      </c>
      <c r="N14" s="149">
        <f>SUM(B14:M14)</f>
        <v>73483528</v>
      </c>
    </row>
    <row r="15" spans="1:14">
      <c r="A15" s="147" t="s">
        <v>563</v>
      </c>
      <c r="B15" s="150"/>
      <c r="C15" s="150"/>
      <c r="D15" s="150" t="e">
        <f>'Önkormányzat Beruházás'!#REF!</f>
        <v>#REF!</v>
      </c>
      <c r="E15" s="148"/>
      <c r="F15" s="148"/>
      <c r="G15" s="148" t="e">
        <f>'Önkormányzat Beruházás'!#REF!+'Önkormányzat Beruházás'!#REF!+'Önkormányzat Beruházás'!#REF!+'Önkormányzat Beruházás'!#REF!+'Önkormányzat Beruházás'!#REF!+'Önkormányzat Beruházás'!#REF!</f>
        <v>#REF!</v>
      </c>
      <c r="H15" s="148"/>
      <c r="I15" s="150"/>
      <c r="J15" s="150"/>
      <c r="K15" s="151"/>
      <c r="L15" s="151"/>
      <c r="M15" s="151"/>
      <c r="N15" s="149" t="e">
        <f t="shared" ref="N15:N21" si="4">SUM(B15:M15)</f>
        <v>#REF!</v>
      </c>
    </row>
    <row r="16" spans="1:14">
      <c r="A16" s="147" t="s">
        <v>564</v>
      </c>
      <c r="B16" s="150"/>
      <c r="C16" s="150"/>
      <c r="D16" s="150"/>
      <c r="E16" s="150"/>
      <c r="F16" s="150"/>
      <c r="G16" s="150"/>
      <c r="H16" s="150" t="e">
        <f>'Önkormányzat Beruházás'!#REF!</f>
        <v>#REF!</v>
      </c>
      <c r="I16" s="150"/>
      <c r="J16" s="150"/>
      <c r="K16" s="151"/>
      <c r="L16" s="151"/>
      <c r="M16" s="151"/>
      <c r="N16" s="149" t="e">
        <f t="shared" si="4"/>
        <v>#REF!</v>
      </c>
    </row>
    <row r="17" spans="1:14">
      <c r="A17" s="147" t="s">
        <v>146</v>
      </c>
      <c r="B17" s="150">
        <f>B10</f>
        <v>9950941.9700000007</v>
      </c>
      <c r="C17" s="150">
        <f t="shared" ref="C17:M17" si="5">C10</f>
        <v>9950941.9700000007</v>
      </c>
      <c r="D17" s="150">
        <f t="shared" si="5"/>
        <v>9950941.9700000007</v>
      </c>
      <c r="E17" s="150">
        <f t="shared" si="5"/>
        <v>9950941.9700000007</v>
      </c>
      <c r="F17" s="150">
        <f t="shared" si="5"/>
        <v>9950941.9700000007</v>
      </c>
      <c r="G17" s="150">
        <f t="shared" si="5"/>
        <v>9950941.9700000007</v>
      </c>
      <c r="H17" s="150">
        <f t="shared" si="5"/>
        <v>9950941.9700000007</v>
      </c>
      <c r="I17" s="150">
        <f t="shared" si="5"/>
        <v>9950941.9700000007</v>
      </c>
      <c r="J17" s="150">
        <f t="shared" si="5"/>
        <v>9950941.9700000007</v>
      </c>
      <c r="K17" s="150">
        <f t="shared" si="5"/>
        <v>9950941.9700000007</v>
      </c>
      <c r="L17" s="150">
        <f t="shared" si="5"/>
        <v>9950941.9700000007</v>
      </c>
      <c r="M17" s="150">
        <f t="shared" si="5"/>
        <v>9950941.9700000007</v>
      </c>
      <c r="N17" s="149">
        <f t="shared" si="4"/>
        <v>119411303.64</v>
      </c>
    </row>
    <row r="18" spans="1:14">
      <c r="A18" s="147" t="s">
        <v>565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49">
        <f t="shared" si="4"/>
        <v>0</v>
      </c>
    </row>
    <row r="19" spans="1:14">
      <c r="A19" s="152" t="s">
        <v>566</v>
      </c>
      <c r="B19" s="153">
        <f>SUM(B14:B18)</f>
        <v>16074569.303333335</v>
      </c>
      <c r="C19" s="153">
        <f t="shared" ref="C19:M19" si="6">SUM(C14:C18)</f>
        <v>16074569.303333335</v>
      </c>
      <c r="D19" s="153" t="e">
        <f t="shared" si="6"/>
        <v>#REF!</v>
      </c>
      <c r="E19" s="153">
        <f t="shared" si="6"/>
        <v>16074569.303333335</v>
      </c>
      <c r="F19" s="153">
        <f t="shared" si="6"/>
        <v>16074569.303333335</v>
      </c>
      <c r="G19" s="153" t="e">
        <f t="shared" si="6"/>
        <v>#REF!</v>
      </c>
      <c r="H19" s="153" t="e">
        <f t="shared" si="6"/>
        <v>#REF!</v>
      </c>
      <c r="I19" s="153">
        <f t="shared" si="6"/>
        <v>16074569.303333335</v>
      </c>
      <c r="J19" s="153">
        <f t="shared" si="6"/>
        <v>16074569.303333335</v>
      </c>
      <c r="K19" s="153">
        <f t="shared" si="6"/>
        <v>16074569.303333335</v>
      </c>
      <c r="L19" s="153">
        <f t="shared" si="6"/>
        <v>16074569.303333335</v>
      </c>
      <c r="M19" s="153">
        <f t="shared" si="6"/>
        <v>16074569.303333335</v>
      </c>
      <c r="N19" s="153" t="e">
        <f>SUM(N14:N18)</f>
        <v>#REF!</v>
      </c>
    </row>
    <row r="20" spans="1:14">
      <c r="A20" s="154" t="s">
        <v>567</v>
      </c>
      <c r="B20" s="155">
        <f>B19</f>
        <v>16074569.303333335</v>
      </c>
      <c r="C20" s="155">
        <f t="shared" ref="C20:M20" si="7">C19</f>
        <v>16074569.303333335</v>
      </c>
      <c r="D20" s="155" t="e">
        <f t="shared" si="7"/>
        <v>#REF!</v>
      </c>
      <c r="E20" s="155">
        <f t="shared" si="7"/>
        <v>16074569.303333335</v>
      </c>
      <c r="F20" s="155">
        <f t="shared" si="7"/>
        <v>16074569.303333335</v>
      </c>
      <c r="G20" s="155" t="e">
        <f t="shared" si="7"/>
        <v>#REF!</v>
      </c>
      <c r="H20" s="155" t="e">
        <f t="shared" si="7"/>
        <v>#REF!</v>
      </c>
      <c r="I20" s="155">
        <f t="shared" si="7"/>
        <v>16074569.303333335</v>
      </c>
      <c r="J20" s="155">
        <f t="shared" si="7"/>
        <v>16074569.303333335</v>
      </c>
      <c r="K20" s="155">
        <f t="shared" si="7"/>
        <v>16074569.303333335</v>
      </c>
      <c r="L20" s="155">
        <f t="shared" si="7"/>
        <v>16074569.303333335</v>
      </c>
      <c r="M20" s="155">
        <f t="shared" si="7"/>
        <v>16074569.303333335</v>
      </c>
      <c r="N20" s="149" t="e">
        <f t="shared" si="4"/>
        <v>#REF!</v>
      </c>
    </row>
    <row r="21" spans="1:14">
      <c r="A21" s="156" t="s">
        <v>568</v>
      </c>
      <c r="B21" s="155">
        <f>B11</f>
        <v>97549206.653333336</v>
      </c>
      <c r="C21" s="155">
        <f t="shared" ref="C21:M21" si="8">C11</f>
        <v>97549206.653333336</v>
      </c>
      <c r="D21" s="155">
        <f t="shared" si="8"/>
        <v>97549206.653333336</v>
      </c>
      <c r="E21" s="155">
        <f t="shared" si="8"/>
        <v>97549206.653333336</v>
      </c>
      <c r="F21" s="155">
        <f t="shared" si="8"/>
        <v>97549206.653333336</v>
      </c>
      <c r="G21" s="155">
        <f t="shared" si="8"/>
        <v>40302506.053333335</v>
      </c>
      <c r="H21" s="155">
        <f t="shared" si="8"/>
        <v>40302506.053333335</v>
      </c>
      <c r="I21" s="155">
        <f t="shared" si="8"/>
        <v>40302506.053333335</v>
      </c>
      <c r="J21" s="155">
        <f t="shared" si="8"/>
        <v>40302506.053333335</v>
      </c>
      <c r="K21" s="155">
        <f t="shared" si="8"/>
        <v>40302506.053333335</v>
      </c>
      <c r="L21" s="155">
        <f t="shared" si="8"/>
        <v>40302506.053333335</v>
      </c>
      <c r="M21" s="155">
        <f t="shared" si="8"/>
        <v>40302506.053333335</v>
      </c>
      <c r="N21" s="149">
        <f t="shared" si="4"/>
        <v>769863575.63999975</v>
      </c>
    </row>
    <row r="22" spans="1:14" ht="15.75" thickBot="1">
      <c r="A22" s="157" t="s">
        <v>569</v>
      </c>
      <c r="B22" s="158">
        <f>B21-B20</f>
        <v>81474637.349999994</v>
      </c>
      <c r="C22" s="158">
        <f>B22+C21-C20</f>
        <v>162949274.69999999</v>
      </c>
      <c r="D22" s="158" t="e">
        <f>C22+D21-D20</f>
        <v>#REF!</v>
      </c>
      <c r="E22" s="158" t="e">
        <f t="shared" ref="E22:M22" si="9">D22+E21-E20</f>
        <v>#REF!</v>
      </c>
      <c r="F22" s="158" t="e">
        <f t="shared" si="9"/>
        <v>#REF!</v>
      </c>
      <c r="G22" s="158" t="e">
        <f t="shared" si="9"/>
        <v>#REF!</v>
      </c>
      <c r="H22" s="158" t="e">
        <f>G22+H21-H20</f>
        <v>#REF!</v>
      </c>
      <c r="I22" s="158" t="e">
        <f t="shared" si="9"/>
        <v>#REF!</v>
      </c>
      <c r="J22" s="158" t="e">
        <f t="shared" si="9"/>
        <v>#REF!</v>
      </c>
      <c r="K22" s="158" t="e">
        <f t="shared" si="9"/>
        <v>#REF!</v>
      </c>
      <c r="L22" s="158" t="e">
        <f t="shared" si="9"/>
        <v>#REF!</v>
      </c>
      <c r="M22" s="158" t="e">
        <f t="shared" si="9"/>
        <v>#REF!</v>
      </c>
      <c r="N22" s="149" t="e">
        <f>N21-N20</f>
        <v>#REF!</v>
      </c>
    </row>
  </sheetData>
  <mergeCells count="6">
    <mergeCell ref="A13:N13"/>
    <mergeCell ref="A1:H1"/>
    <mergeCell ref="B3:K3"/>
    <mergeCell ref="A6:N6"/>
    <mergeCell ref="A7:N7"/>
    <mergeCell ref="A12:N12"/>
  </mergeCells>
  <pageMargins left="0.7" right="0.7" top="0.75" bottom="0.75" header="0.3" footer="0.3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C00000"/>
    <pageSetUpPr fitToPage="1"/>
  </sheetPr>
  <dimension ref="A1:N28"/>
  <sheetViews>
    <sheetView workbookViewId="0">
      <selection activeCell="P8" sqref="P8"/>
    </sheetView>
  </sheetViews>
  <sheetFormatPr defaultRowHeight="15"/>
  <cols>
    <col min="1" max="1" width="21" customWidth="1"/>
    <col min="2" max="2" width="20.85546875" customWidth="1"/>
    <col min="3" max="3" width="18" customWidth="1"/>
    <col min="4" max="4" width="11.28515625" customWidth="1"/>
    <col min="5" max="5" width="13.140625" customWidth="1"/>
    <col min="6" max="6" width="16" customWidth="1"/>
    <col min="7" max="7" width="15" customWidth="1"/>
    <col min="8" max="8" width="16.42578125" customWidth="1"/>
    <col min="9" max="9" width="17.28515625" customWidth="1"/>
  </cols>
  <sheetData>
    <row r="1" spans="1:14">
      <c r="A1" s="1412" t="s">
        <v>630</v>
      </c>
      <c r="B1" s="1412"/>
      <c r="C1" s="1412"/>
      <c r="D1" s="1412"/>
      <c r="E1" s="1412"/>
      <c r="F1" s="945"/>
      <c r="G1" s="945"/>
      <c r="H1" s="945"/>
      <c r="I1" s="945"/>
    </row>
    <row r="2" spans="1:14">
      <c r="A2" s="946"/>
      <c r="B2" s="946"/>
      <c r="C2" s="946"/>
      <c r="D2" s="946"/>
      <c r="E2" s="946"/>
      <c r="F2" s="945"/>
      <c r="G2" s="945"/>
      <c r="H2" s="945"/>
      <c r="I2" s="945"/>
    </row>
    <row r="3" spans="1:14">
      <c r="A3" s="1528" t="s">
        <v>989</v>
      </c>
      <c r="B3" s="1528"/>
      <c r="C3" s="1528"/>
      <c r="D3" s="1528"/>
      <c r="E3" s="1528"/>
      <c r="F3" s="1528"/>
      <c r="G3" s="1528"/>
      <c r="H3" s="1528"/>
      <c r="I3" s="1528"/>
      <c r="J3" s="216"/>
      <c r="K3" s="216"/>
      <c r="L3" s="216"/>
      <c r="M3" s="216"/>
      <c r="N3" s="216"/>
    </row>
    <row r="4" spans="1:14" ht="15.75" thickBot="1">
      <c r="A4" s="1529" t="s">
        <v>631</v>
      </c>
      <c r="B4" s="1529"/>
      <c r="C4" s="1529"/>
      <c r="D4" s="1529"/>
      <c r="E4" s="1529"/>
      <c r="F4" s="1529"/>
      <c r="G4" s="1529"/>
      <c r="H4" s="1529"/>
      <c r="I4" s="1529"/>
    </row>
    <row r="5" spans="1:14" ht="15.75" thickTop="1">
      <c r="A5" s="1521" t="s">
        <v>570</v>
      </c>
      <c r="B5" s="947"/>
      <c r="C5" s="1523" t="s">
        <v>994</v>
      </c>
      <c r="D5" s="1525" t="s">
        <v>571</v>
      </c>
      <c r="E5" s="1525"/>
      <c r="F5" s="1525"/>
      <c r="G5" s="1525"/>
      <c r="H5" s="1525"/>
      <c r="I5" s="966"/>
    </row>
    <row r="6" spans="1:14">
      <c r="A6" s="1522"/>
      <c r="B6" s="948"/>
      <c r="C6" s="1524"/>
      <c r="D6" s="1526" t="s">
        <v>572</v>
      </c>
      <c r="E6" s="1526"/>
      <c r="F6" s="1526"/>
      <c r="G6" s="1527" t="s">
        <v>573</v>
      </c>
      <c r="H6" s="1527"/>
      <c r="I6" s="1542" t="s">
        <v>996</v>
      </c>
    </row>
    <row r="7" spans="1:14">
      <c r="A7" s="1522"/>
      <c r="B7" s="948"/>
      <c r="C7" s="1524"/>
      <c r="D7" s="1543" t="s">
        <v>991</v>
      </c>
      <c r="E7" s="1544" t="s">
        <v>993</v>
      </c>
      <c r="F7" s="1546" t="s">
        <v>992</v>
      </c>
      <c r="G7" s="1546" t="s">
        <v>991</v>
      </c>
      <c r="H7" s="1547" t="s">
        <v>992</v>
      </c>
      <c r="I7" s="1542"/>
    </row>
    <row r="8" spans="1:14" ht="15.75" thickBot="1">
      <c r="A8" s="1522"/>
      <c r="B8" s="948"/>
      <c r="C8" s="1524"/>
      <c r="D8" s="1543"/>
      <c r="E8" s="1545"/>
      <c r="F8" s="1546"/>
      <c r="G8" s="1546"/>
      <c r="H8" s="1547"/>
      <c r="I8" s="1542"/>
    </row>
    <row r="9" spans="1:14">
      <c r="A9" s="1536" t="s">
        <v>575</v>
      </c>
      <c r="B9" s="967" t="s">
        <v>995</v>
      </c>
      <c r="C9" s="968">
        <v>1</v>
      </c>
      <c r="D9" s="968">
        <v>1</v>
      </c>
      <c r="E9" s="968"/>
      <c r="F9" s="949"/>
      <c r="G9" s="949"/>
      <c r="H9" s="950"/>
      <c r="I9" s="951"/>
    </row>
    <row r="10" spans="1:14">
      <c r="A10" s="1537"/>
      <c r="B10" s="969" t="s">
        <v>621</v>
      </c>
      <c r="C10" s="970">
        <v>1</v>
      </c>
      <c r="D10" s="970"/>
      <c r="E10" s="970">
        <v>1</v>
      </c>
      <c r="F10" s="952"/>
      <c r="G10" s="952"/>
      <c r="H10" s="953"/>
      <c r="I10" s="954"/>
    </row>
    <row r="11" spans="1:14">
      <c r="A11" s="1537"/>
      <c r="B11" s="969" t="s">
        <v>622</v>
      </c>
      <c r="C11" s="970">
        <v>1</v>
      </c>
      <c r="D11" s="970">
        <v>1</v>
      </c>
      <c r="E11" s="970"/>
      <c r="F11" s="952"/>
      <c r="G11" s="952"/>
      <c r="H11" s="953"/>
      <c r="I11" s="954"/>
    </row>
    <row r="12" spans="1:14">
      <c r="A12" s="1537"/>
      <c r="B12" s="971"/>
      <c r="C12" s="970"/>
      <c r="D12" s="970"/>
      <c r="E12" s="970"/>
      <c r="F12" s="952"/>
      <c r="G12" s="952"/>
      <c r="H12" s="953"/>
      <c r="I12" s="954"/>
    </row>
    <row r="13" spans="1:14" ht="15.75" thickBot="1">
      <c r="A13" s="1538"/>
      <c r="B13" s="972"/>
      <c r="C13" s="973"/>
      <c r="D13" s="973"/>
      <c r="E13" s="973"/>
      <c r="F13" s="955"/>
      <c r="G13" s="955"/>
      <c r="H13" s="956"/>
      <c r="I13" s="957"/>
    </row>
    <row r="14" spans="1:14">
      <c r="A14" s="1533" t="s">
        <v>574</v>
      </c>
      <c r="B14" s="991" t="s">
        <v>995</v>
      </c>
      <c r="C14" s="988">
        <v>7</v>
      </c>
      <c r="D14" s="974">
        <v>7</v>
      </c>
      <c r="E14" s="958"/>
      <c r="F14" s="975"/>
      <c r="G14" s="975"/>
      <c r="H14" s="976"/>
      <c r="I14" s="954"/>
    </row>
    <row r="15" spans="1:14">
      <c r="A15" s="1534"/>
      <c r="B15" s="992"/>
      <c r="C15" s="989"/>
      <c r="D15" s="977"/>
      <c r="E15" s="959"/>
      <c r="F15" s="978"/>
      <c r="G15" s="978"/>
      <c r="H15" s="979"/>
      <c r="I15" s="980"/>
    </row>
    <row r="16" spans="1:14">
      <c r="A16" s="1534"/>
      <c r="B16" s="992"/>
      <c r="C16" s="989"/>
      <c r="D16" s="977"/>
      <c r="E16" s="959"/>
      <c r="F16" s="978"/>
      <c r="G16" s="978"/>
      <c r="H16" s="979"/>
      <c r="I16" s="980"/>
    </row>
    <row r="17" spans="1:9">
      <c r="A17" s="1534"/>
      <c r="B17" s="992"/>
      <c r="C17" s="989"/>
      <c r="D17" s="977"/>
      <c r="E17" s="959"/>
      <c r="F17" s="978"/>
      <c r="G17" s="978"/>
      <c r="H17" s="979"/>
      <c r="I17" s="980"/>
    </row>
    <row r="18" spans="1:9" ht="15.75" thickBot="1">
      <c r="A18" s="1535"/>
      <c r="B18" s="993"/>
      <c r="C18" s="990"/>
      <c r="D18" s="981"/>
      <c r="E18" s="960"/>
      <c r="F18" s="982"/>
      <c r="G18" s="982"/>
      <c r="H18" s="983"/>
      <c r="I18" s="984"/>
    </row>
    <row r="19" spans="1:9">
      <c r="A19" s="1539" t="s">
        <v>624</v>
      </c>
      <c r="B19" s="967" t="s">
        <v>995</v>
      </c>
      <c r="C19" s="985">
        <v>13</v>
      </c>
      <c r="D19" s="985">
        <v>7</v>
      </c>
      <c r="E19" s="985"/>
      <c r="F19" s="961"/>
      <c r="G19" s="961">
        <v>4</v>
      </c>
      <c r="H19" s="962">
        <v>2</v>
      </c>
      <c r="I19" s="954"/>
    </row>
    <row r="20" spans="1:9">
      <c r="A20" s="1540"/>
      <c r="B20" s="971"/>
      <c r="C20" s="970"/>
      <c r="D20" s="970"/>
      <c r="E20" s="970"/>
      <c r="F20" s="952"/>
      <c r="G20" s="952"/>
      <c r="H20" s="953"/>
      <c r="I20" s="954"/>
    </row>
    <row r="21" spans="1:9">
      <c r="A21" s="1540"/>
      <c r="B21" s="971"/>
      <c r="C21" s="970"/>
      <c r="D21" s="970"/>
      <c r="E21" s="970"/>
      <c r="F21" s="952"/>
      <c r="G21" s="952"/>
      <c r="H21" s="953"/>
      <c r="I21" s="954"/>
    </row>
    <row r="22" spans="1:9">
      <c r="A22" s="1540"/>
      <c r="B22" s="971"/>
      <c r="C22" s="970"/>
      <c r="D22" s="970"/>
      <c r="E22" s="970"/>
      <c r="F22" s="952"/>
      <c r="G22" s="952"/>
      <c r="H22" s="953"/>
      <c r="I22" s="954"/>
    </row>
    <row r="23" spans="1:9" ht="15.75" thickBot="1">
      <c r="A23" s="1541"/>
      <c r="B23" s="972"/>
      <c r="C23" s="973"/>
      <c r="D23" s="973"/>
      <c r="E23" s="973"/>
      <c r="F23" s="955"/>
      <c r="G23" s="955"/>
      <c r="H23" s="956"/>
      <c r="I23" s="963"/>
    </row>
    <row r="24" spans="1:9">
      <c r="A24" s="1530" t="s">
        <v>990</v>
      </c>
      <c r="B24" s="967" t="s">
        <v>995</v>
      </c>
      <c r="C24" s="985">
        <v>3</v>
      </c>
      <c r="D24" s="985"/>
      <c r="E24" s="985"/>
      <c r="F24" s="961"/>
      <c r="G24" s="961"/>
      <c r="H24" s="962"/>
      <c r="I24" s="951">
        <v>3</v>
      </c>
    </row>
    <row r="25" spans="1:9">
      <c r="A25" s="1531"/>
      <c r="B25" s="971"/>
      <c r="C25" s="970"/>
      <c r="D25" s="970"/>
      <c r="E25" s="970"/>
      <c r="F25" s="952"/>
      <c r="G25" s="952"/>
      <c r="H25" s="953"/>
      <c r="I25" s="954"/>
    </row>
    <row r="26" spans="1:9">
      <c r="A26" s="1531"/>
      <c r="B26" s="971"/>
      <c r="C26" s="970"/>
      <c r="D26" s="986"/>
      <c r="E26" s="986"/>
      <c r="F26" s="964"/>
      <c r="G26" s="964"/>
      <c r="H26" s="965"/>
      <c r="I26" s="954"/>
    </row>
    <row r="27" spans="1:9">
      <c r="A27" s="1531"/>
      <c r="B27" s="971"/>
      <c r="C27" s="970"/>
      <c r="D27" s="986"/>
      <c r="E27" s="986"/>
      <c r="F27" s="964"/>
      <c r="G27" s="964"/>
      <c r="H27" s="965"/>
      <c r="I27" s="954"/>
    </row>
    <row r="28" spans="1:9" ht="15.75" thickBot="1">
      <c r="A28" s="1532"/>
      <c r="B28" s="987" t="s">
        <v>623</v>
      </c>
      <c r="C28" s="973">
        <v>26</v>
      </c>
      <c r="D28" s="973">
        <v>16</v>
      </c>
      <c r="E28" s="973">
        <v>1</v>
      </c>
      <c r="F28" s="955"/>
      <c r="G28" s="955">
        <v>4</v>
      </c>
      <c r="H28" s="956">
        <v>2</v>
      </c>
      <c r="I28" s="957">
        <v>3</v>
      </c>
    </row>
  </sheetData>
  <mergeCells count="18">
    <mergeCell ref="A24:A28"/>
    <mergeCell ref="A14:A18"/>
    <mergeCell ref="A9:A13"/>
    <mergeCell ref="A19:A23"/>
    <mergeCell ref="I6:I8"/>
    <mergeCell ref="D7:D8"/>
    <mergeCell ref="E7:E8"/>
    <mergeCell ref="F7:F8"/>
    <mergeCell ref="G7:G8"/>
    <mergeCell ref="H7:H8"/>
    <mergeCell ref="A1:E1"/>
    <mergeCell ref="A5:A8"/>
    <mergeCell ref="C5:C8"/>
    <mergeCell ref="D5:H5"/>
    <mergeCell ref="D6:F6"/>
    <mergeCell ref="G6:H6"/>
    <mergeCell ref="A3:I3"/>
    <mergeCell ref="A4:I4"/>
  </mergeCells>
  <pageMargins left="0.7" right="0.7" top="0.75" bottom="0.75" header="0.3" footer="0.3"/>
  <pageSetup paperSize="9" scale="88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C00000"/>
  </sheetPr>
  <dimension ref="A1:E13"/>
  <sheetViews>
    <sheetView workbookViewId="0">
      <selection activeCell="C21" sqref="C21"/>
    </sheetView>
  </sheetViews>
  <sheetFormatPr defaultRowHeight="15"/>
  <cols>
    <col min="1" max="1" width="18.140625" customWidth="1"/>
    <col min="3" max="3" width="29.28515625" customWidth="1"/>
  </cols>
  <sheetData>
    <row r="1" spans="1:5">
      <c r="A1" s="1548" t="s">
        <v>988</v>
      </c>
      <c r="B1" s="1548"/>
      <c r="C1" s="1548"/>
      <c r="D1" s="1548"/>
      <c r="E1" s="1548"/>
    </row>
    <row r="2" spans="1:5">
      <c r="A2" s="142"/>
      <c r="B2" s="142"/>
      <c r="C2" s="142"/>
      <c r="D2" s="142"/>
      <c r="E2" s="142"/>
    </row>
    <row r="3" spans="1:5" ht="15" customHeight="1">
      <c r="A3" s="1555" t="s">
        <v>987</v>
      </c>
      <c r="B3" s="1555"/>
      <c r="C3" s="1555"/>
      <c r="D3" s="1555"/>
      <c r="E3" s="1555"/>
    </row>
    <row r="4" spans="1:5" ht="15.75" thickBot="1"/>
    <row r="5" spans="1:5" ht="15.75" thickTop="1">
      <c r="A5" s="1549"/>
      <c r="B5" s="1550"/>
      <c r="C5" s="1551"/>
    </row>
    <row r="6" spans="1:5">
      <c r="A6" s="1552"/>
      <c r="B6" s="1553"/>
      <c r="C6" s="1554"/>
    </row>
    <row r="7" spans="1:5">
      <c r="A7" s="159" t="s">
        <v>632</v>
      </c>
      <c r="B7" s="160" t="s">
        <v>203</v>
      </c>
      <c r="C7" s="161" t="s">
        <v>576</v>
      </c>
    </row>
    <row r="8" spans="1:5">
      <c r="A8" s="159" t="s">
        <v>523</v>
      </c>
      <c r="B8" s="160"/>
      <c r="C8" s="162"/>
    </row>
    <row r="9" spans="1:5">
      <c r="A9" s="159" t="s">
        <v>633</v>
      </c>
      <c r="B9" s="160"/>
      <c r="C9" s="162"/>
    </row>
    <row r="10" spans="1:5">
      <c r="A10" s="159"/>
      <c r="B10" s="160"/>
      <c r="C10" s="162"/>
    </row>
    <row r="11" spans="1:5" ht="15.75" thickBot="1">
      <c r="A11" s="163" t="s">
        <v>577</v>
      </c>
      <c r="B11" s="164">
        <f>SUM(B8:B10)</f>
        <v>0</v>
      </c>
      <c r="C11" s="165">
        <f>SUM(C8:C10)</f>
        <v>0</v>
      </c>
    </row>
    <row r="12" spans="1:5" ht="15.75" thickTop="1"/>
    <row r="13" spans="1:5">
      <c r="A13" t="s">
        <v>625</v>
      </c>
    </row>
  </sheetData>
  <mergeCells count="4">
    <mergeCell ref="A1:E1"/>
    <mergeCell ref="A5:C5"/>
    <mergeCell ref="A6:C6"/>
    <mergeCell ref="A3:E3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C00000"/>
  </sheetPr>
  <dimension ref="A1:G35"/>
  <sheetViews>
    <sheetView workbookViewId="0">
      <selection activeCell="F37" sqref="F37"/>
    </sheetView>
  </sheetViews>
  <sheetFormatPr defaultRowHeight="15"/>
  <cols>
    <col min="1" max="1" width="22.85546875" customWidth="1"/>
    <col min="2" max="2" width="7.42578125" customWidth="1"/>
    <col min="3" max="3" width="11.5703125" customWidth="1"/>
    <col min="4" max="5" width="11" customWidth="1"/>
    <col min="6" max="6" width="11.7109375" customWidth="1"/>
    <col min="7" max="7" width="11.42578125" customWidth="1"/>
  </cols>
  <sheetData>
    <row r="1" spans="1:7">
      <c r="A1" s="10" t="s">
        <v>634</v>
      </c>
      <c r="B1" s="10"/>
      <c r="C1" s="10"/>
      <c r="D1" s="10"/>
      <c r="E1" s="10"/>
      <c r="F1" s="10"/>
    </row>
    <row r="2" spans="1:7" ht="4.5" customHeight="1">
      <c r="A2" s="141"/>
      <c r="B2" s="141"/>
      <c r="C2" s="141"/>
      <c r="D2" s="141"/>
      <c r="E2" s="141"/>
      <c r="F2" s="141"/>
    </row>
    <row r="3" spans="1:7" ht="13.5" customHeight="1">
      <c r="A3" s="1556" t="s">
        <v>611</v>
      </c>
      <c r="B3" s="1556"/>
      <c r="C3" s="1556"/>
      <c r="D3" s="1556"/>
      <c r="E3" s="1556"/>
      <c r="F3" s="1556"/>
      <c r="G3" s="1556"/>
    </row>
    <row r="4" spans="1:7" ht="12.75" customHeight="1" thickBot="1">
      <c r="A4" s="166"/>
      <c r="B4" s="166"/>
      <c r="C4" s="218" t="s">
        <v>635</v>
      </c>
      <c r="D4" s="217"/>
      <c r="E4" s="217"/>
      <c r="F4" s="166"/>
      <c r="G4" s="167" t="s">
        <v>578</v>
      </c>
    </row>
    <row r="5" spans="1:7" ht="14.25" customHeight="1">
      <c r="A5" s="1557" t="s">
        <v>579</v>
      </c>
      <c r="B5" s="1560" t="s">
        <v>1</v>
      </c>
      <c r="C5" s="1563" t="s">
        <v>580</v>
      </c>
      <c r="D5" s="1564"/>
      <c r="E5" s="1564"/>
      <c r="F5" s="1564"/>
      <c r="G5" s="1567" t="s">
        <v>581</v>
      </c>
    </row>
    <row r="6" spans="1:7" ht="10.5" customHeight="1">
      <c r="A6" s="1558"/>
      <c r="B6" s="1561"/>
      <c r="C6" s="1565"/>
      <c r="D6" s="1566"/>
      <c r="E6" s="1566"/>
      <c r="F6" s="1566"/>
      <c r="G6" s="1568"/>
    </row>
    <row r="7" spans="1:7" ht="11.25" customHeight="1" thickBot="1">
      <c r="A7" s="1559"/>
      <c r="B7" s="1562"/>
      <c r="C7" s="168">
        <v>2021</v>
      </c>
      <c r="D7" s="168">
        <v>2022</v>
      </c>
      <c r="E7" s="168">
        <v>2023</v>
      </c>
      <c r="F7" s="169">
        <v>2024</v>
      </c>
      <c r="G7" s="1569"/>
    </row>
    <row r="8" spans="1:7" ht="12" customHeight="1">
      <c r="A8" s="170">
        <v>1</v>
      </c>
      <c r="B8" s="171">
        <v>2</v>
      </c>
      <c r="C8" s="171">
        <v>3</v>
      </c>
      <c r="D8" s="171">
        <v>4</v>
      </c>
      <c r="E8" s="171">
        <v>5</v>
      </c>
      <c r="F8" s="172">
        <v>6</v>
      </c>
      <c r="G8" s="173">
        <v>7</v>
      </c>
    </row>
    <row r="9" spans="1:7">
      <c r="A9" s="174" t="s">
        <v>582</v>
      </c>
      <c r="B9" s="175" t="s">
        <v>583</v>
      </c>
      <c r="C9" s="176">
        <f>'Közhatalmi bevétel'!C21</f>
        <v>40720000</v>
      </c>
      <c r="D9" s="176">
        <f>C9*1.039</f>
        <v>42308080</v>
      </c>
      <c r="E9" s="176">
        <f>D9*1.039</f>
        <v>43958095.119999997</v>
      </c>
      <c r="F9" s="176">
        <f>E9*1.039</f>
        <v>45672460.829679996</v>
      </c>
      <c r="G9" s="177">
        <f>+C9+D9+E9+F9</f>
        <v>172658635.94968</v>
      </c>
    </row>
    <row r="10" spans="1:7">
      <c r="A10" s="174" t="s">
        <v>584</v>
      </c>
      <c r="B10" s="175" t="s">
        <v>585</v>
      </c>
      <c r="C10" s="176">
        <v>0</v>
      </c>
      <c r="D10" s="176">
        <f t="shared" ref="D10:F12" si="0">C10*1.039</f>
        <v>0</v>
      </c>
      <c r="E10" s="176">
        <f t="shared" si="0"/>
        <v>0</v>
      </c>
      <c r="F10" s="176">
        <f t="shared" si="0"/>
        <v>0</v>
      </c>
      <c r="G10" s="177">
        <f t="shared" ref="G10:G35" si="1">+C10+D10+E10+F10</f>
        <v>0</v>
      </c>
    </row>
    <row r="11" spans="1:7">
      <c r="A11" s="174" t="s">
        <v>586</v>
      </c>
      <c r="B11" s="175" t="s">
        <v>587</v>
      </c>
      <c r="C11" s="176">
        <v>0</v>
      </c>
      <c r="D11" s="176">
        <v>0</v>
      </c>
      <c r="E11" s="176">
        <f t="shared" si="0"/>
        <v>0</v>
      </c>
      <c r="F11" s="176">
        <f t="shared" si="0"/>
        <v>0</v>
      </c>
      <c r="G11" s="177">
        <f t="shared" si="1"/>
        <v>0</v>
      </c>
    </row>
    <row r="12" spans="1:7" ht="62.25" customHeight="1">
      <c r="A12" s="174" t="s">
        <v>588</v>
      </c>
      <c r="B12" s="175" t="s">
        <v>589</v>
      </c>
      <c r="C12" s="176">
        <v>0</v>
      </c>
      <c r="D12" s="176">
        <f t="shared" si="0"/>
        <v>0</v>
      </c>
      <c r="E12" s="176">
        <f t="shared" si="0"/>
        <v>0</v>
      </c>
      <c r="F12" s="176">
        <f t="shared" si="0"/>
        <v>0</v>
      </c>
      <c r="G12" s="177">
        <f t="shared" si="1"/>
        <v>0</v>
      </c>
    </row>
    <row r="13" spans="1:7" ht="23.25" customHeight="1">
      <c r="A13" s="174" t="s">
        <v>590</v>
      </c>
      <c r="B13" s="175" t="s">
        <v>591</v>
      </c>
      <c r="C13" s="176">
        <v>0</v>
      </c>
      <c r="D13" s="176">
        <v>0</v>
      </c>
      <c r="E13" s="176">
        <v>0</v>
      </c>
      <c r="F13" s="178">
        <v>0</v>
      </c>
      <c r="G13" s="177">
        <f t="shared" si="1"/>
        <v>0</v>
      </c>
    </row>
    <row r="14" spans="1:7" ht="35.25" customHeight="1">
      <c r="A14" s="174" t="s">
        <v>592</v>
      </c>
      <c r="B14" s="175" t="s">
        <v>593</v>
      </c>
      <c r="C14" s="176">
        <v>0</v>
      </c>
      <c r="D14" s="176">
        <v>0</v>
      </c>
      <c r="E14" s="176">
        <v>0</v>
      </c>
      <c r="F14" s="178">
        <v>0</v>
      </c>
      <c r="G14" s="177">
        <f t="shared" si="1"/>
        <v>0</v>
      </c>
    </row>
    <row r="15" spans="1:7" ht="30" customHeight="1" thickBot="1">
      <c r="A15" s="179" t="s">
        <v>594</v>
      </c>
      <c r="B15" s="180" t="s">
        <v>595</v>
      </c>
      <c r="C15" s="181">
        <v>0</v>
      </c>
      <c r="D15" s="181">
        <v>0</v>
      </c>
      <c r="E15" s="181">
        <v>0</v>
      </c>
      <c r="F15" s="182">
        <v>0</v>
      </c>
      <c r="G15" s="183">
        <f t="shared" si="1"/>
        <v>0</v>
      </c>
    </row>
    <row r="16" spans="1:7" ht="15.75" thickBot="1">
      <c r="A16" s="184" t="s">
        <v>596</v>
      </c>
      <c r="B16" s="185" t="s">
        <v>597</v>
      </c>
      <c r="C16" s="186">
        <f>SUM(C9:C15)</f>
        <v>40720000</v>
      </c>
      <c r="D16" s="186">
        <f>SUM(D9:D15)</f>
        <v>42308080</v>
      </c>
      <c r="E16" s="186">
        <f>SUM(E9:E15)</f>
        <v>43958095.119999997</v>
      </c>
      <c r="F16" s="187">
        <f>SUM(F9:F15)</f>
        <v>45672460.829679996</v>
      </c>
      <c r="G16" s="188">
        <f t="shared" si="1"/>
        <v>172658635.94968</v>
      </c>
    </row>
    <row r="17" spans="1:7" ht="20.25" customHeight="1" thickBot="1">
      <c r="A17" s="189" t="s">
        <v>598</v>
      </c>
      <c r="B17" s="190" t="s">
        <v>599</v>
      </c>
      <c r="C17" s="191">
        <f>+C16*0.5</f>
        <v>20360000</v>
      </c>
      <c r="D17" s="191">
        <f>+D16*0.5</f>
        <v>21154040</v>
      </c>
      <c r="E17" s="191">
        <f>+E16*0.5</f>
        <v>21979047.559999999</v>
      </c>
      <c r="F17" s="192">
        <f>+F16*0.5</f>
        <v>22836230.414839998</v>
      </c>
      <c r="G17" s="188">
        <f t="shared" si="1"/>
        <v>86329317.97484</v>
      </c>
    </row>
    <row r="18" spans="1:7" ht="40.5" customHeight="1" thickBot="1">
      <c r="A18" s="184" t="s">
        <v>600</v>
      </c>
      <c r="B18" s="193">
        <v>10</v>
      </c>
      <c r="C18" s="186">
        <f>SUM(C19:C25)</f>
        <v>0</v>
      </c>
      <c r="D18" s="186">
        <f>SUM(D19:D25)</f>
        <v>0</v>
      </c>
      <c r="E18" s="186">
        <f>SUM(E19:E25)</f>
        <v>0</v>
      </c>
      <c r="F18" s="187">
        <f>SUM(F19:F25)</f>
        <v>0</v>
      </c>
      <c r="G18" s="188">
        <f t="shared" si="1"/>
        <v>0</v>
      </c>
    </row>
    <row r="19" spans="1:7" ht="21" customHeight="1">
      <c r="A19" s="194" t="s">
        <v>601</v>
      </c>
      <c r="B19" s="195">
        <v>11</v>
      </c>
      <c r="C19" s="196">
        <v>0</v>
      </c>
      <c r="D19" s="196">
        <v>0</v>
      </c>
      <c r="E19" s="196">
        <v>0</v>
      </c>
      <c r="F19" s="197">
        <v>0</v>
      </c>
      <c r="G19" s="198">
        <f t="shared" si="1"/>
        <v>0</v>
      </c>
    </row>
    <row r="20" spans="1:7" ht="24.75" customHeight="1">
      <c r="A20" s="174" t="s">
        <v>602</v>
      </c>
      <c r="B20" s="199">
        <v>12</v>
      </c>
      <c r="C20" s="176">
        <v>0</v>
      </c>
      <c r="D20" s="176">
        <v>0</v>
      </c>
      <c r="E20" s="176">
        <v>0</v>
      </c>
      <c r="F20" s="178">
        <v>0</v>
      </c>
      <c r="G20" s="177">
        <f t="shared" si="1"/>
        <v>0</v>
      </c>
    </row>
    <row r="21" spans="1:7" ht="26.25" customHeight="1">
      <c r="A21" s="174" t="s">
        <v>603</v>
      </c>
      <c r="B21" s="199">
        <v>13</v>
      </c>
      <c r="C21" s="176">
        <v>0</v>
      </c>
      <c r="D21" s="176">
        <v>0</v>
      </c>
      <c r="E21" s="176">
        <v>0</v>
      </c>
      <c r="F21" s="178">
        <v>0</v>
      </c>
      <c r="G21" s="177">
        <f t="shared" si="1"/>
        <v>0</v>
      </c>
    </row>
    <row r="22" spans="1:7">
      <c r="A22" s="174" t="s">
        <v>604</v>
      </c>
      <c r="B22" s="199">
        <v>14</v>
      </c>
      <c r="C22" s="176">
        <v>0</v>
      </c>
      <c r="D22" s="176">
        <v>0</v>
      </c>
      <c r="E22" s="176">
        <v>0</v>
      </c>
      <c r="F22" s="178">
        <v>0</v>
      </c>
      <c r="G22" s="177">
        <f t="shared" si="1"/>
        <v>0</v>
      </c>
    </row>
    <row r="23" spans="1:7">
      <c r="A23" s="174" t="s">
        <v>605</v>
      </c>
      <c r="B23" s="199">
        <v>15</v>
      </c>
      <c r="C23" s="176">
        <v>0</v>
      </c>
      <c r="D23" s="176">
        <v>0</v>
      </c>
      <c r="E23" s="176">
        <v>0</v>
      </c>
      <c r="F23" s="178">
        <v>0</v>
      </c>
      <c r="G23" s="177">
        <f t="shared" si="1"/>
        <v>0</v>
      </c>
    </row>
    <row r="24" spans="1:7">
      <c r="A24" s="174" t="s">
        <v>606</v>
      </c>
      <c r="B24" s="199">
        <v>16</v>
      </c>
      <c r="C24" s="176">
        <v>0</v>
      </c>
      <c r="D24" s="176">
        <v>0</v>
      </c>
      <c r="E24" s="176">
        <v>0</v>
      </c>
      <c r="F24" s="178">
        <v>0</v>
      </c>
      <c r="G24" s="177">
        <f t="shared" si="1"/>
        <v>0</v>
      </c>
    </row>
    <row r="25" spans="1:7" ht="27.75" customHeight="1" thickBot="1">
      <c r="A25" s="179" t="s">
        <v>607</v>
      </c>
      <c r="B25" s="200">
        <v>17</v>
      </c>
      <c r="C25" s="181">
        <v>0</v>
      </c>
      <c r="D25" s="181">
        <v>0</v>
      </c>
      <c r="E25" s="181">
        <v>0</v>
      </c>
      <c r="F25" s="182">
        <v>0</v>
      </c>
      <c r="G25" s="183">
        <f t="shared" si="1"/>
        <v>0</v>
      </c>
    </row>
    <row r="26" spans="1:7" ht="45" customHeight="1" thickBot="1">
      <c r="A26" s="184" t="s">
        <v>608</v>
      </c>
      <c r="B26" s="193">
        <v>18</v>
      </c>
      <c r="C26" s="186">
        <f>SUM(C27:C33)</f>
        <v>0</v>
      </c>
      <c r="D26" s="186">
        <f>SUM(D27:D33)</f>
        <v>0</v>
      </c>
      <c r="E26" s="186">
        <f>SUM(E27:E33)</f>
        <v>0</v>
      </c>
      <c r="F26" s="187">
        <f>SUM(F27:F33)</f>
        <v>0</v>
      </c>
      <c r="G26" s="188">
        <f t="shared" si="1"/>
        <v>0</v>
      </c>
    </row>
    <row r="27" spans="1:7" ht="21.75" customHeight="1">
      <c r="A27" s="194" t="s">
        <v>601</v>
      </c>
      <c r="B27" s="195">
        <v>19</v>
      </c>
      <c r="C27" s="196">
        <v>0</v>
      </c>
      <c r="D27" s="196">
        <v>0</v>
      </c>
      <c r="E27" s="196">
        <v>0</v>
      </c>
      <c r="F27" s="197">
        <v>0</v>
      </c>
      <c r="G27" s="198">
        <f t="shared" si="1"/>
        <v>0</v>
      </c>
    </row>
    <row r="28" spans="1:7" ht="25.5" customHeight="1">
      <c r="A28" s="174" t="s">
        <v>602</v>
      </c>
      <c r="B28" s="199">
        <v>20</v>
      </c>
      <c r="C28" s="196">
        <v>0</v>
      </c>
      <c r="D28" s="196">
        <v>0</v>
      </c>
      <c r="E28" s="196">
        <v>0</v>
      </c>
      <c r="F28" s="197">
        <v>0</v>
      </c>
      <c r="G28" s="177">
        <f t="shared" si="1"/>
        <v>0</v>
      </c>
    </row>
    <row r="29" spans="1:7" ht="26.25" customHeight="1">
      <c r="A29" s="174" t="s">
        <v>603</v>
      </c>
      <c r="B29" s="199">
        <v>21</v>
      </c>
      <c r="C29" s="196">
        <v>0</v>
      </c>
      <c r="D29" s="196">
        <v>0</v>
      </c>
      <c r="E29" s="196">
        <v>0</v>
      </c>
      <c r="F29" s="197">
        <v>0</v>
      </c>
      <c r="G29" s="177">
        <f t="shared" si="1"/>
        <v>0</v>
      </c>
    </row>
    <row r="30" spans="1:7">
      <c r="A30" s="174" t="s">
        <v>604</v>
      </c>
      <c r="B30" s="199">
        <v>22</v>
      </c>
      <c r="C30" s="196">
        <v>0</v>
      </c>
      <c r="D30" s="196">
        <v>0</v>
      </c>
      <c r="E30" s="196">
        <v>0</v>
      </c>
      <c r="F30" s="197">
        <v>0</v>
      </c>
      <c r="G30" s="177">
        <f t="shared" si="1"/>
        <v>0</v>
      </c>
    </row>
    <row r="31" spans="1:7">
      <c r="A31" s="174" t="s">
        <v>605</v>
      </c>
      <c r="B31" s="199">
        <v>23</v>
      </c>
      <c r="C31" s="196">
        <v>0</v>
      </c>
      <c r="D31" s="196">
        <v>0</v>
      </c>
      <c r="E31" s="196">
        <v>0</v>
      </c>
      <c r="F31" s="197">
        <v>0</v>
      </c>
      <c r="G31" s="177">
        <f t="shared" si="1"/>
        <v>0</v>
      </c>
    </row>
    <row r="32" spans="1:7">
      <c r="A32" s="174" t="s">
        <v>606</v>
      </c>
      <c r="B32" s="199">
        <v>24</v>
      </c>
      <c r="C32" s="196">
        <v>0</v>
      </c>
      <c r="D32" s="196">
        <v>0</v>
      </c>
      <c r="E32" s="196">
        <v>0</v>
      </c>
      <c r="F32" s="197">
        <v>0</v>
      </c>
      <c r="G32" s="177">
        <f t="shared" si="1"/>
        <v>0</v>
      </c>
    </row>
    <row r="33" spans="1:7" ht="26.25" customHeight="1" thickBot="1">
      <c r="A33" s="179" t="s">
        <v>607</v>
      </c>
      <c r="B33" s="200">
        <v>25</v>
      </c>
      <c r="C33" s="196">
        <v>0</v>
      </c>
      <c r="D33" s="196">
        <v>0</v>
      </c>
      <c r="E33" s="196">
        <v>0</v>
      </c>
      <c r="F33" s="197">
        <v>0</v>
      </c>
      <c r="G33" s="183">
        <f t="shared" si="1"/>
        <v>0</v>
      </c>
    </row>
    <row r="34" spans="1:7" ht="21.75" thickBot="1">
      <c r="A34" s="184" t="s">
        <v>609</v>
      </c>
      <c r="B34" s="193">
        <v>26</v>
      </c>
      <c r="C34" s="186">
        <f>+C18+C26</f>
        <v>0</v>
      </c>
      <c r="D34" s="186">
        <f>+D18+D26</f>
        <v>0</v>
      </c>
      <c r="E34" s="186">
        <f>+E18+E26</f>
        <v>0</v>
      </c>
      <c r="F34" s="187">
        <f>+F18+F26</f>
        <v>0</v>
      </c>
      <c r="G34" s="188">
        <f t="shared" si="1"/>
        <v>0</v>
      </c>
    </row>
    <row r="35" spans="1:7" ht="33.75" customHeight="1" thickBot="1">
      <c r="A35" s="189" t="s">
        <v>610</v>
      </c>
      <c r="B35" s="201">
        <v>27</v>
      </c>
      <c r="C35" s="191">
        <f>+C17-C34</f>
        <v>20360000</v>
      </c>
      <c r="D35" s="191">
        <f>+D17-D34</f>
        <v>21154040</v>
      </c>
      <c r="E35" s="191">
        <f>+E17-E34</f>
        <v>21979047.559999999</v>
      </c>
      <c r="F35" s="191">
        <f>+F17-F34</f>
        <v>22836230.414839998</v>
      </c>
      <c r="G35" s="202">
        <f t="shared" si="1"/>
        <v>86329317.97484</v>
      </c>
    </row>
  </sheetData>
  <mergeCells count="5">
    <mergeCell ref="A3:G3"/>
    <mergeCell ref="A5:A7"/>
    <mergeCell ref="B5:B7"/>
    <mergeCell ref="C5:F6"/>
    <mergeCell ref="G5:G7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C00000"/>
  </sheetPr>
  <dimension ref="A1:L14"/>
  <sheetViews>
    <sheetView workbookViewId="0">
      <selection activeCell="R24" sqref="R24"/>
    </sheetView>
  </sheetViews>
  <sheetFormatPr defaultRowHeight="15"/>
  <cols>
    <col min="1" max="1" width="14.5703125" customWidth="1"/>
    <col min="2" max="2" width="18.140625" customWidth="1"/>
    <col min="3" max="3" width="13.140625" customWidth="1"/>
  </cols>
  <sheetData>
    <row r="1" spans="1:12">
      <c r="A1" s="1342" t="s">
        <v>636</v>
      </c>
      <c r="B1" s="1342"/>
      <c r="C1" s="1342"/>
      <c r="D1" s="1342"/>
      <c r="E1" s="1342"/>
      <c r="F1" s="1342"/>
      <c r="G1" s="141"/>
      <c r="H1" s="141"/>
      <c r="I1" s="141"/>
      <c r="J1" s="141"/>
    </row>
    <row r="2" spans="1:12">
      <c r="A2" s="1342"/>
      <c r="B2" s="1342"/>
      <c r="C2" s="1342"/>
      <c r="D2" s="1342"/>
      <c r="E2" s="1342"/>
      <c r="F2" s="1342"/>
      <c r="G2" s="141"/>
      <c r="H2" s="141"/>
      <c r="I2" s="141"/>
      <c r="J2" s="141"/>
    </row>
    <row r="4" spans="1:12">
      <c r="A4" s="1517" t="s">
        <v>618</v>
      </c>
      <c r="B4" s="1517"/>
      <c r="C4" s="1517"/>
      <c r="D4" s="1517"/>
      <c r="E4" s="1517"/>
      <c r="F4" s="1517"/>
      <c r="G4" s="1517"/>
      <c r="H4" s="1517"/>
      <c r="I4" s="1517"/>
      <c r="J4" s="1517"/>
      <c r="K4" s="1517"/>
      <c r="L4" s="1517"/>
    </row>
    <row r="5" spans="1:12">
      <c r="A5" s="1517"/>
      <c r="B5" s="1517"/>
      <c r="C5" s="1517"/>
      <c r="D5" s="1517"/>
      <c r="E5" s="1517"/>
      <c r="F5" s="1517"/>
      <c r="G5" s="1517"/>
      <c r="H5" s="1517"/>
      <c r="I5" s="1517"/>
      <c r="J5" s="1517"/>
      <c r="K5" s="1517"/>
      <c r="L5" s="1517"/>
    </row>
    <row r="8" spans="1:12">
      <c r="A8" s="1570" t="s">
        <v>1</v>
      </c>
      <c r="B8" s="1571" t="s">
        <v>612</v>
      </c>
      <c r="C8" s="1573" t="s">
        <v>613</v>
      </c>
      <c r="D8" s="1575"/>
      <c r="E8" s="1575"/>
      <c r="F8" s="1576"/>
      <c r="G8" s="203"/>
      <c r="H8" s="203"/>
      <c r="I8" s="203"/>
      <c r="J8" s="203"/>
      <c r="K8" s="1577" t="s">
        <v>614</v>
      </c>
      <c r="L8" s="1571" t="s">
        <v>577</v>
      </c>
    </row>
    <row r="9" spans="1:12" ht="48" customHeight="1">
      <c r="A9" s="1570"/>
      <c r="B9" s="1572"/>
      <c r="C9" s="1574"/>
      <c r="D9" s="204">
        <v>2017</v>
      </c>
      <c r="E9" s="205">
        <v>2018</v>
      </c>
      <c r="F9" s="205">
        <v>2019</v>
      </c>
      <c r="G9" s="205">
        <v>2020</v>
      </c>
      <c r="H9" s="205">
        <v>2021</v>
      </c>
      <c r="I9" s="205">
        <v>2022</v>
      </c>
      <c r="J9" s="205">
        <v>2023</v>
      </c>
      <c r="K9" s="1577"/>
      <c r="L9" s="1572"/>
    </row>
    <row r="10" spans="1:12" ht="33">
      <c r="A10" s="206"/>
      <c r="B10" s="207" t="s">
        <v>615</v>
      </c>
      <c r="C10" s="208">
        <f>SUM(C8:C8)</f>
        <v>0</v>
      </c>
      <c r="D10" s="209">
        <f>SUM(D8:D8)</f>
        <v>0</v>
      </c>
      <c r="E10" s="209">
        <f>SUM(E8:E8)</f>
        <v>0</v>
      </c>
      <c r="F10" s="209">
        <f>SUM(F8:F8)</f>
        <v>0</v>
      </c>
      <c r="G10" s="209">
        <v>0</v>
      </c>
      <c r="H10" s="209">
        <v>0</v>
      </c>
      <c r="I10" s="209">
        <v>0</v>
      </c>
      <c r="J10" s="209">
        <v>0</v>
      </c>
      <c r="K10" s="209">
        <v>0</v>
      </c>
      <c r="L10" s="209">
        <f>SUM(L8:L8)</f>
        <v>0</v>
      </c>
    </row>
    <row r="11" spans="1:12">
      <c r="A11" s="204">
        <v>1</v>
      </c>
      <c r="B11" s="210"/>
      <c r="C11" s="211">
        <v>0</v>
      </c>
      <c r="D11" s="211">
        <v>0</v>
      </c>
      <c r="E11" s="211">
        <v>0</v>
      </c>
      <c r="F11" s="211">
        <v>0</v>
      </c>
      <c r="G11" s="211">
        <v>0</v>
      </c>
      <c r="H11" s="211">
        <v>0</v>
      </c>
      <c r="I11" s="211">
        <v>0</v>
      </c>
      <c r="J11" s="211"/>
      <c r="K11" s="212">
        <v>0</v>
      </c>
      <c r="L11" s="209"/>
    </row>
    <row r="12" spans="1:12">
      <c r="A12" s="204"/>
      <c r="B12" s="210"/>
      <c r="C12" s="211"/>
      <c r="D12" s="211"/>
      <c r="E12" s="211"/>
      <c r="F12" s="211"/>
      <c r="G12" s="211"/>
      <c r="H12" s="211"/>
      <c r="I12" s="211"/>
      <c r="J12" s="211"/>
      <c r="K12" s="212"/>
      <c r="L12" s="209"/>
    </row>
    <row r="13" spans="1:12" ht="43.5">
      <c r="A13" s="206"/>
      <c r="B13" s="207" t="s">
        <v>616</v>
      </c>
      <c r="C13" s="208">
        <f>SUM(C11)</f>
        <v>0</v>
      </c>
      <c r="D13" s="208">
        <f>SUM(D12)</f>
        <v>0</v>
      </c>
      <c r="E13" s="208">
        <f t="shared" ref="E13:L14" si="0">SUM(E12)</f>
        <v>0</v>
      </c>
      <c r="F13" s="208">
        <f t="shared" si="0"/>
        <v>0</v>
      </c>
      <c r="G13" s="208">
        <f t="shared" si="0"/>
        <v>0</v>
      </c>
      <c r="H13" s="208">
        <f t="shared" si="0"/>
        <v>0</v>
      </c>
      <c r="I13" s="208">
        <f t="shared" si="0"/>
        <v>0</v>
      </c>
      <c r="J13" s="208">
        <f t="shared" si="0"/>
        <v>0</v>
      </c>
      <c r="K13" s="209">
        <v>0</v>
      </c>
      <c r="L13" s="208">
        <f t="shared" si="0"/>
        <v>0</v>
      </c>
    </row>
    <row r="14" spans="1:12">
      <c r="A14" s="211"/>
      <c r="B14" s="205" t="s">
        <v>617</v>
      </c>
      <c r="C14" s="208">
        <v>0</v>
      </c>
      <c r="D14" s="208">
        <f>SUM(D13)</f>
        <v>0</v>
      </c>
      <c r="E14" s="208">
        <f t="shared" si="0"/>
        <v>0</v>
      </c>
      <c r="F14" s="208">
        <f t="shared" si="0"/>
        <v>0</v>
      </c>
      <c r="G14" s="208">
        <f t="shared" si="0"/>
        <v>0</v>
      </c>
      <c r="H14" s="208">
        <f t="shared" si="0"/>
        <v>0</v>
      </c>
      <c r="I14" s="208">
        <f t="shared" si="0"/>
        <v>0</v>
      </c>
      <c r="J14" s="208">
        <f t="shared" si="0"/>
        <v>0</v>
      </c>
      <c r="K14" s="208">
        <f t="shared" si="0"/>
        <v>0</v>
      </c>
      <c r="L14" s="208">
        <f t="shared" si="0"/>
        <v>0</v>
      </c>
    </row>
  </sheetData>
  <mergeCells count="8">
    <mergeCell ref="A1:F2"/>
    <mergeCell ref="A4:L5"/>
    <mergeCell ref="A8:A9"/>
    <mergeCell ref="B8:B9"/>
    <mergeCell ref="C8:C9"/>
    <mergeCell ref="D8:F8"/>
    <mergeCell ref="K8:K9"/>
    <mergeCell ref="L8:L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P47"/>
  <sheetViews>
    <sheetView workbookViewId="0">
      <pane xSplit="2" ySplit="5" topLeftCell="C30" activePane="bottomRight" state="frozen"/>
      <selection pane="topRight" activeCell="C1" sqref="C1"/>
      <selection pane="bottomLeft" activeCell="A6" sqref="A6"/>
      <selection pane="bottomRight" activeCell="F53" sqref="F53"/>
    </sheetView>
  </sheetViews>
  <sheetFormatPr defaultColWidth="8.7109375" defaultRowHeight="15"/>
  <cols>
    <col min="1" max="1" width="8.7109375" style="256"/>
    <col min="2" max="2" width="50" style="256" customWidth="1"/>
    <col min="3" max="3" width="8.7109375" style="256"/>
    <col min="4" max="4" width="15" style="256" customWidth="1"/>
    <col min="5" max="5" width="17.28515625" style="256" customWidth="1"/>
    <col min="6" max="6" width="30.42578125" style="256" customWidth="1"/>
    <col min="7" max="7" width="17.5703125" style="319" customWidth="1"/>
    <col min="8" max="8" width="26.140625" style="319" customWidth="1"/>
    <col min="9" max="9" width="15" style="319" customWidth="1"/>
    <col min="10" max="10" width="15.28515625" style="319" customWidth="1"/>
    <col min="11" max="11" width="16.5703125" style="319" customWidth="1"/>
    <col min="12" max="12" width="16.85546875" style="319" customWidth="1"/>
    <col min="13" max="13" width="17.140625" style="319" customWidth="1"/>
    <col min="14" max="14" width="19.5703125" style="256" customWidth="1"/>
    <col min="15" max="15" width="29.28515625" style="256" customWidth="1"/>
    <col min="16" max="16384" width="8.7109375" style="256"/>
  </cols>
  <sheetData>
    <row r="1" spans="1:15">
      <c r="A1" s="1188" t="s">
        <v>154</v>
      </c>
      <c r="B1" s="1190" t="s">
        <v>155</v>
      </c>
      <c r="C1" s="1197" t="s">
        <v>156</v>
      </c>
      <c r="D1" s="1198"/>
      <c r="E1" s="1198"/>
      <c r="F1" s="1198"/>
      <c r="G1" s="1174" t="s">
        <v>695</v>
      </c>
      <c r="H1" s="1174"/>
      <c r="I1" s="1174"/>
      <c r="J1" s="1174"/>
      <c r="K1" s="1174"/>
      <c r="L1" s="1174"/>
      <c r="M1" s="1174"/>
      <c r="N1" s="1174"/>
      <c r="O1" s="1174"/>
    </row>
    <row r="2" spans="1:15">
      <c r="A2" s="1189"/>
      <c r="B2" s="1191"/>
      <c r="C2" s="559" t="s">
        <v>157</v>
      </c>
      <c r="D2" s="559" t="s">
        <v>158</v>
      </c>
      <c r="E2" s="1186" t="s">
        <v>159</v>
      </c>
      <c r="F2" s="1187"/>
      <c r="G2" s="1175"/>
      <c r="H2" s="1175"/>
      <c r="I2" s="1175"/>
      <c r="J2" s="1175"/>
      <c r="K2" s="1175"/>
      <c r="L2" s="1175"/>
      <c r="M2" s="1175"/>
      <c r="N2" s="1175"/>
      <c r="O2" s="1175"/>
    </row>
    <row r="3" spans="1:15">
      <c r="A3" s="1189"/>
      <c r="B3" s="1191"/>
      <c r="C3" s="1192" t="s">
        <v>160</v>
      </c>
      <c r="D3" s="1192"/>
      <c r="E3" s="1192"/>
      <c r="F3" s="560" t="s">
        <v>648</v>
      </c>
      <c r="G3" s="1175"/>
      <c r="H3" s="1175"/>
      <c r="I3" s="1175"/>
      <c r="J3" s="1175"/>
      <c r="K3" s="1175"/>
      <c r="L3" s="1175"/>
      <c r="M3" s="1175"/>
      <c r="N3" s="1175"/>
      <c r="O3" s="1175"/>
    </row>
    <row r="4" spans="1:15">
      <c r="A4" s="1189"/>
      <c r="B4" s="1191"/>
      <c r="C4" s="1193">
        <v>2022</v>
      </c>
      <c r="D4" s="1194"/>
      <c r="E4" s="1194"/>
      <c r="F4" s="1194"/>
      <c r="G4" s="1176" t="s">
        <v>696</v>
      </c>
      <c r="H4" s="1176" t="s">
        <v>697</v>
      </c>
      <c r="I4" s="1176" t="s">
        <v>698</v>
      </c>
      <c r="J4" s="1176" t="s">
        <v>699</v>
      </c>
      <c r="K4" s="1176" t="s">
        <v>700</v>
      </c>
      <c r="L4" s="1176" t="s">
        <v>701</v>
      </c>
      <c r="M4" s="1177" t="s">
        <v>832</v>
      </c>
      <c r="N4" s="1179" t="s">
        <v>4</v>
      </c>
      <c r="O4" s="1181" t="s">
        <v>702</v>
      </c>
    </row>
    <row r="5" spans="1:15">
      <c r="A5" s="1189"/>
      <c r="B5" s="1191"/>
      <c r="C5" s="1195"/>
      <c r="D5" s="1196"/>
      <c r="E5" s="1196"/>
      <c r="F5" s="1196"/>
      <c r="G5" s="1176"/>
      <c r="H5" s="1176"/>
      <c r="I5" s="1176"/>
      <c r="J5" s="1176"/>
      <c r="K5" s="1176"/>
      <c r="L5" s="1176"/>
      <c r="M5" s="1178"/>
      <c r="N5" s="1180"/>
      <c r="O5" s="1182"/>
    </row>
    <row r="6" spans="1:15">
      <c r="A6" s="561" t="s">
        <v>161</v>
      </c>
      <c r="B6" s="562" t="s">
        <v>162</v>
      </c>
      <c r="C6" s="563">
        <v>6.21</v>
      </c>
      <c r="D6" s="564">
        <v>5475000</v>
      </c>
      <c r="E6" s="565">
        <f>C6*D6</f>
        <v>33999750</v>
      </c>
      <c r="F6" s="566">
        <f>E6</f>
        <v>33999750</v>
      </c>
      <c r="G6" s="283">
        <f>'Kiadások összesen'!N8+'Hivatal 2022 évi elemi költésgv'!AA113-'Általános kiadások'!E14</f>
        <v>27719774</v>
      </c>
      <c r="H6" s="283"/>
      <c r="I6" s="283"/>
      <c r="J6" s="283"/>
      <c r="K6" s="283"/>
      <c r="L6" s="283"/>
      <c r="M6" s="283"/>
      <c r="N6" s="567">
        <f>SUM(G6:M6)</f>
        <v>27719774</v>
      </c>
      <c r="O6" s="567">
        <f>N6-F6</f>
        <v>-6279976</v>
      </c>
    </row>
    <row r="7" spans="1:15">
      <c r="A7" s="568" t="s">
        <v>164</v>
      </c>
      <c r="B7" s="562" t="s">
        <v>165</v>
      </c>
      <c r="C7" s="569"/>
      <c r="D7" s="569"/>
      <c r="E7" s="565">
        <f>SUM(E8:E11)</f>
        <v>9811180</v>
      </c>
      <c r="F7" s="566">
        <f t="shared" ref="F7:F16" si="0">E7</f>
        <v>9811180</v>
      </c>
      <c r="G7" s="570">
        <f>SUM(G8:G11)</f>
        <v>0</v>
      </c>
      <c r="H7" s="570">
        <f t="shared" ref="H7:M7" si="1">SUM(H8:H11)</f>
        <v>0</v>
      </c>
      <c r="I7" s="570">
        <f t="shared" si="1"/>
        <v>1990226</v>
      </c>
      <c r="J7" s="570">
        <f t="shared" si="1"/>
        <v>1352091</v>
      </c>
      <c r="K7" s="570">
        <f t="shared" si="1"/>
        <v>1096</v>
      </c>
      <c r="L7" s="570">
        <f t="shared" si="1"/>
        <v>221979</v>
      </c>
      <c r="M7" s="570">
        <f t="shared" si="1"/>
        <v>0</v>
      </c>
      <c r="N7" s="567">
        <f t="shared" ref="N7:N16" si="2">SUM(G7:M7)</f>
        <v>3565392</v>
      </c>
      <c r="O7" s="567">
        <f t="shared" ref="O7:O16" si="3">N7-F7</f>
        <v>-6245788</v>
      </c>
    </row>
    <row r="8" spans="1:15" ht="26.25">
      <c r="A8" s="571" t="s">
        <v>166</v>
      </c>
      <c r="B8" s="572" t="s">
        <v>167</v>
      </c>
      <c r="C8" s="569"/>
      <c r="D8" s="569"/>
      <c r="E8" s="573">
        <v>3225600</v>
      </c>
      <c r="F8" s="566">
        <f t="shared" si="0"/>
        <v>3225600</v>
      </c>
      <c r="G8" s="283"/>
      <c r="H8" s="283"/>
      <c r="I8" s="283">
        <f>'Település üzemeltetés'!Q59</f>
        <v>1990226</v>
      </c>
      <c r="J8" s="283"/>
      <c r="K8" s="283"/>
      <c r="L8" s="283"/>
      <c r="M8" s="283"/>
      <c r="N8" s="567">
        <f t="shared" si="2"/>
        <v>1990226</v>
      </c>
      <c r="O8" s="567">
        <f t="shared" si="3"/>
        <v>-1235374</v>
      </c>
    </row>
    <row r="9" spans="1:15">
      <c r="A9" s="574" t="s">
        <v>168</v>
      </c>
      <c r="B9" s="572" t="s">
        <v>169</v>
      </c>
      <c r="C9" s="569"/>
      <c r="D9" s="569"/>
      <c r="E9" s="575">
        <v>4320000</v>
      </c>
      <c r="F9" s="566">
        <f t="shared" si="0"/>
        <v>4320000</v>
      </c>
      <c r="G9" s="283"/>
      <c r="H9" s="283"/>
      <c r="I9" s="283"/>
      <c r="J9" s="283">
        <f>'Település üzemeltetés'!K59</f>
        <v>1352091</v>
      </c>
      <c r="K9" s="283"/>
      <c r="L9" s="283"/>
      <c r="M9" s="283"/>
      <c r="N9" s="567">
        <f t="shared" si="2"/>
        <v>1352091</v>
      </c>
      <c r="O9" s="567">
        <f t="shared" si="3"/>
        <v>-2967909</v>
      </c>
    </row>
    <row r="10" spans="1:15" ht="26.25">
      <c r="A10" s="574" t="s">
        <v>170</v>
      </c>
      <c r="B10" s="572" t="s">
        <v>171</v>
      </c>
      <c r="C10" s="569"/>
      <c r="D10" s="569"/>
      <c r="E10" s="575">
        <v>100000</v>
      </c>
      <c r="F10" s="566">
        <f t="shared" si="0"/>
        <v>100000</v>
      </c>
      <c r="G10" s="283"/>
      <c r="H10" s="283"/>
      <c r="I10" s="283"/>
      <c r="J10" s="283"/>
      <c r="K10" s="283">
        <f>'Település üzemeltetés'!N59</f>
        <v>1096</v>
      </c>
      <c r="L10" s="283"/>
      <c r="M10" s="283"/>
      <c r="N10" s="567">
        <f t="shared" si="2"/>
        <v>1096</v>
      </c>
      <c r="O10" s="567">
        <f t="shared" si="3"/>
        <v>-98904</v>
      </c>
    </row>
    <row r="11" spans="1:15">
      <c r="A11" s="574" t="s">
        <v>172</v>
      </c>
      <c r="B11" s="572" t="s">
        <v>173</v>
      </c>
      <c r="C11" s="569"/>
      <c r="D11" s="569"/>
      <c r="E11" s="575">
        <v>2165580</v>
      </c>
      <c r="F11" s="566">
        <f t="shared" si="0"/>
        <v>2165580</v>
      </c>
      <c r="G11" s="283"/>
      <c r="H11" s="283"/>
      <c r="I11" s="283"/>
      <c r="J11" s="283"/>
      <c r="K11" s="283"/>
      <c r="L11" s="283">
        <f>'Település üzemeltetés'!H59</f>
        <v>221979</v>
      </c>
      <c r="M11" s="283"/>
      <c r="N11" s="567">
        <f t="shared" si="2"/>
        <v>221979</v>
      </c>
      <c r="O11" s="567">
        <f t="shared" si="3"/>
        <v>-1943601</v>
      </c>
    </row>
    <row r="12" spans="1:15" ht="26.25">
      <c r="A12" s="568" t="s">
        <v>174</v>
      </c>
      <c r="B12" s="576" t="s">
        <v>175</v>
      </c>
      <c r="C12" s="569"/>
      <c r="D12" s="569"/>
      <c r="E12" s="565">
        <v>8000000</v>
      </c>
      <c r="F12" s="566">
        <f t="shared" si="0"/>
        <v>8000000</v>
      </c>
      <c r="G12" s="283"/>
      <c r="H12" s="283"/>
      <c r="I12" s="283"/>
      <c r="J12" s="283"/>
      <c r="K12" s="283"/>
      <c r="L12" s="283"/>
      <c r="M12" s="283">
        <f>SUM('Település üzemeltetés'!E59,'Település üzemeltetés'!W59,'Település üzemeltetés'!Z59)</f>
        <v>2236942</v>
      </c>
      <c r="N12" s="567">
        <f t="shared" si="2"/>
        <v>2236942</v>
      </c>
      <c r="O12" s="567">
        <f t="shared" si="3"/>
        <v>-5763058</v>
      </c>
    </row>
    <row r="13" spans="1:15" ht="26.25">
      <c r="A13" s="568" t="s">
        <v>176</v>
      </c>
      <c r="B13" s="576" t="s">
        <v>177</v>
      </c>
      <c r="C13" s="569"/>
      <c r="D13" s="569"/>
      <c r="E13" s="565">
        <v>372300</v>
      </c>
      <c r="F13" s="566">
        <f t="shared" si="0"/>
        <v>372300</v>
      </c>
      <c r="G13" s="283"/>
      <c r="H13" s="283"/>
      <c r="I13" s="283"/>
      <c r="J13" s="283"/>
      <c r="K13" s="283"/>
      <c r="L13" s="283"/>
      <c r="M13" s="283"/>
      <c r="N13" s="567">
        <f t="shared" si="2"/>
        <v>0</v>
      </c>
      <c r="O13" s="567">
        <f t="shared" si="3"/>
        <v>-372300</v>
      </c>
    </row>
    <row r="14" spans="1:15">
      <c r="A14" s="568" t="s">
        <v>178</v>
      </c>
      <c r="B14" s="576" t="s">
        <v>179</v>
      </c>
      <c r="C14" s="569"/>
      <c r="D14" s="569"/>
      <c r="E14" s="565">
        <v>0</v>
      </c>
      <c r="F14" s="566">
        <f t="shared" si="0"/>
        <v>0</v>
      </c>
      <c r="G14" s="283"/>
      <c r="H14" s="283"/>
      <c r="I14" s="283"/>
      <c r="J14" s="283"/>
      <c r="K14" s="283"/>
      <c r="L14" s="283"/>
      <c r="M14" s="283"/>
      <c r="N14" s="567">
        <f t="shared" si="2"/>
        <v>0</v>
      </c>
      <c r="O14" s="567">
        <f t="shared" si="3"/>
        <v>0</v>
      </c>
    </row>
    <row r="15" spans="1:15" ht="26.25">
      <c r="A15" s="568"/>
      <c r="B15" s="576" t="s">
        <v>225</v>
      </c>
      <c r="C15" s="569"/>
      <c r="D15" s="569"/>
      <c r="E15" s="565"/>
      <c r="F15" s="566">
        <f t="shared" si="0"/>
        <v>0</v>
      </c>
      <c r="G15" s="283">
        <f>'Általános kiadások'!E14</f>
        <v>6066443</v>
      </c>
      <c r="H15" s="283"/>
      <c r="I15" s="283"/>
      <c r="J15" s="283"/>
      <c r="K15" s="283"/>
      <c r="L15" s="283"/>
      <c r="M15" s="283"/>
      <c r="N15" s="567">
        <f t="shared" si="2"/>
        <v>6066443</v>
      </c>
      <c r="O15" s="567">
        <f t="shared" si="3"/>
        <v>6066443</v>
      </c>
    </row>
    <row r="16" spans="1:15" ht="15.75" thickBot="1">
      <c r="A16" s="577"/>
      <c r="B16" s="578" t="s">
        <v>226</v>
      </c>
      <c r="C16" s="579"/>
      <c r="D16" s="579"/>
      <c r="E16" s="580"/>
      <c r="F16" s="581">
        <f t="shared" si="0"/>
        <v>0</v>
      </c>
      <c r="G16" s="373"/>
      <c r="H16" s="373"/>
      <c r="I16" s="373"/>
      <c r="J16" s="373"/>
      <c r="K16" s="373"/>
      <c r="L16" s="373"/>
      <c r="M16" s="373"/>
      <c r="N16" s="384">
        <f t="shared" si="2"/>
        <v>0</v>
      </c>
      <c r="O16" s="384">
        <f t="shared" si="3"/>
        <v>0</v>
      </c>
    </row>
    <row r="17" spans="1:15" ht="27" thickBot="1">
      <c r="A17" s="582" t="s">
        <v>180</v>
      </c>
      <c r="B17" s="583" t="s">
        <v>181</v>
      </c>
      <c r="C17" s="584"/>
      <c r="D17" s="584"/>
      <c r="E17" s="585">
        <f>SUM(E6,E7,E12,E13,E14,E15)</f>
        <v>52183230</v>
      </c>
      <c r="F17" s="586">
        <f>E17</f>
        <v>52183230</v>
      </c>
      <c r="G17" s="587">
        <f>SUM(G6:G16)</f>
        <v>33786217</v>
      </c>
      <c r="H17" s="587">
        <f t="shared" ref="H17:O17" si="4">SUM(H6:H16)</f>
        <v>0</v>
      </c>
      <c r="I17" s="587">
        <f t="shared" si="4"/>
        <v>3980452</v>
      </c>
      <c r="J17" s="587">
        <f t="shared" si="4"/>
        <v>2704182</v>
      </c>
      <c r="K17" s="587">
        <f t="shared" si="4"/>
        <v>2192</v>
      </c>
      <c r="L17" s="587">
        <f t="shared" si="4"/>
        <v>443958</v>
      </c>
      <c r="M17" s="587">
        <f t="shared" si="4"/>
        <v>2236942</v>
      </c>
      <c r="N17" s="587">
        <f t="shared" si="4"/>
        <v>43153943</v>
      </c>
      <c r="O17" s="587">
        <f t="shared" si="4"/>
        <v>-18840467</v>
      </c>
    </row>
    <row r="18" spans="1:15" s="597" customFormat="1" ht="45.75" thickBot="1">
      <c r="A18" s="588"/>
      <c r="B18" s="589"/>
      <c r="C18" s="590"/>
      <c r="D18" s="590"/>
      <c r="E18" s="591"/>
      <c r="F18" s="592"/>
      <c r="G18" s="593" t="s">
        <v>703</v>
      </c>
      <c r="H18" s="593" t="s">
        <v>704</v>
      </c>
      <c r="I18" s="593" t="s">
        <v>705</v>
      </c>
      <c r="J18" s="594"/>
      <c r="K18" s="594"/>
      <c r="L18" s="594"/>
      <c r="M18" s="594"/>
      <c r="N18" s="595" t="s">
        <v>4</v>
      </c>
      <c r="O18" s="596" t="s">
        <v>702</v>
      </c>
    </row>
    <row r="19" spans="1:15">
      <c r="A19" s="1183" t="s">
        <v>182</v>
      </c>
      <c r="B19" s="598" t="s">
        <v>829</v>
      </c>
      <c r="C19" s="599">
        <v>7.5</v>
      </c>
      <c r="D19" s="600">
        <v>4861500</v>
      </c>
      <c r="E19" s="601">
        <f>C19*D19</f>
        <v>36461250</v>
      </c>
      <c r="F19" s="602">
        <f>E19</f>
        <v>36461250</v>
      </c>
      <c r="G19" s="283"/>
      <c r="H19" s="283"/>
      <c r="I19" s="283"/>
      <c r="J19" s="283"/>
      <c r="K19" s="283"/>
      <c r="L19" s="283"/>
      <c r="M19" s="283"/>
      <c r="N19" s="315"/>
      <c r="O19" s="603"/>
    </row>
    <row r="20" spans="1:15">
      <c r="A20" s="1183"/>
      <c r="B20" s="598" t="s">
        <v>830</v>
      </c>
      <c r="C20" s="599">
        <v>2</v>
      </c>
      <c r="D20" s="600">
        <v>432000</v>
      </c>
      <c r="E20" s="601">
        <f>C20*D20</f>
        <v>864000</v>
      </c>
      <c r="F20" s="602">
        <f t="shared" ref="F20:F30" si="5">E20</f>
        <v>864000</v>
      </c>
      <c r="G20" s="283"/>
      <c r="H20" s="283"/>
      <c r="I20" s="283"/>
      <c r="J20" s="283"/>
      <c r="K20" s="283"/>
      <c r="L20" s="283"/>
      <c r="M20" s="283"/>
      <c r="N20" s="315"/>
      <c r="O20" s="604"/>
    </row>
    <row r="21" spans="1:15">
      <c r="A21" s="1183"/>
      <c r="B21" s="598"/>
      <c r="C21" s="605"/>
      <c r="D21" s="605"/>
      <c r="E21" s="601"/>
      <c r="F21" s="602"/>
      <c r="G21" s="283"/>
      <c r="H21" s="283"/>
      <c r="I21" s="283"/>
      <c r="J21" s="283"/>
      <c r="K21" s="283"/>
      <c r="L21" s="283"/>
      <c r="M21" s="283"/>
      <c r="N21" s="315"/>
      <c r="O21" s="604"/>
    </row>
    <row r="22" spans="1:15">
      <c r="A22" s="1183"/>
      <c r="B22" s="598" t="s">
        <v>831</v>
      </c>
      <c r="C22" s="599">
        <v>4</v>
      </c>
      <c r="D22" s="600">
        <v>2919000</v>
      </c>
      <c r="E22" s="601">
        <f>C22*D22</f>
        <v>11676000</v>
      </c>
      <c r="F22" s="602">
        <f t="shared" si="5"/>
        <v>11676000</v>
      </c>
      <c r="G22" s="283"/>
      <c r="H22" s="283"/>
      <c r="I22" s="283"/>
      <c r="J22" s="283"/>
      <c r="K22" s="283"/>
      <c r="L22" s="283"/>
      <c r="M22" s="283"/>
      <c r="N22" s="315"/>
      <c r="O22" s="604"/>
    </row>
    <row r="23" spans="1:15">
      <c r="A23" s="1183"/>
      <c r="B23" s="598"/>
      <c r="C23" s="599"/>
      <c r="D23" s="600"/>
      <c r="E23" s="601"/>
      <c r="F23" s="602">
        <f t="shared" si="5"/>
        <v>0</v>
      </c>
      <c r="G23" s="283"/>
      <c r="H23" s="283"/>
      <c r="I23" s="283"/>
      <c r="J23" s="283"/>
      <c r="K23" s="283"/>
      <c r="L23" s="283"/>
      <c r="M23" s="283"/>
      <c r="N23" s="315"/>
      <c r="O23" s="604"/>
    </row>
    <row r="24" spans="1:15" ht="36">
      <c r="A24" s="1183"/>
      <c r="B24" s="606" t="s">
        <v>187</v>
      </c>
      <c r="C24" s="606"/>
      <c r="D24" s="606"/>
      <c r="E24" s="607">
        <f>SUM(E19:E23)</f>
        <v>49001250</v>
      </c>
      <c r="F24" s="602">
        <f t="shared" si="5"/>
        <v>49001250</v>
      </c>
      <c r="G24" s="283">
        <f>Óvoda!AI108</f>
        <v>14361987</v>
      </c>
      <c r="H24" s="283">
        <f>Óvoda!AJ108</f>
        <v>7927771</v>
      </c>
      <c r="I24" s="283"/>
      <c r="J24" s="283"/>
      <c r="K24" s="283"/>
      <c r="L24" s="283"/>
      <c r="M24" s="283"/>
      <c r="N24" s="315">
        <f>SUM(G24:M24)</f>
        <v>22289758</v>
      </c>
      <c r="O24" s="608">
        <f>N24-F24</f>
        <v>-26711492</v>
      </c>
    </row>
    <row r="25" spans="1:15">
      <c r="A25" s="1183" t="s">
        <v>188</v>
      </c>
      <c r="B25" s="598" t="s">
        <v>828</v>
      </c>
      <c r="C25" s="599">
        <v>82</v>
      </c>
      <c r="D25" s="600">
        <v>97400</v>
      </c>
      <c r="E25" s="601">
        <f>C25*D25</f>
        <v>7986800</v>
      </c>
      <c r="F25" s="602">
        <f t="shared" si="5"/>
        <v>7986800</v>
      </c>
      <c r="G25" s="283"/>
      <c r="H25" s="283"/>
      <c r="I25" s="283"/>
      <c r="J25" s="283"/>
      <c r="K25" s="283"/>
      <c r="L25" s="283"/>
      <c r="M25" s="283"/>
      <c r="N25" s="315"/>
      <c r="O25" s="604"/>
    </row>
    <row r="26" spans="1:15">
      <c r="A26" s="1183"/>
      <c r="B26" s="598"/>
      <c r="C26" s="599"/>
      <c r="D26" s="600"/>
      <c r="E26" s="601"/>
      <c r="F26" s="602">
        <f t="shared" si="5"/>
        <v>0</v>
      </c>
      <c r="G26" s="283"/>
      <c r="H26" s="283"/>
      <c r="I26" s="283"/>
      <c r="J26" s="283"/>
      <c r="K26" s="283"/>
      <c r="L26" s="283"/>
      <c r="M26" s="283"/>
      <c r="N26" s="315"/>
      <c r="O26" s="604"/>
    </row>
    <row r="27" spans="1:15">
      <c r="A27" s="1183"/>
      <c r="B27" s="609" t="s">
        <v>191</v>
      </c>
      <c r="C27" s="609"/>
      <c r="D27" s="609"/>
      <c r="E27" s="607">
        <f>SUM(E25:E26)</f>
        <v>7986800</v>
      </c>
      <c r="F27" s="602">
        <f t="shared" si="5"/>
        <v>7986800</v>
      </c>
      <c r="G27" s="283"/>
      <c r="H27" s="283"/>
      <c r="I27" s="283">
        <f>Óvoda!AK108</f>
        <v>2307872</v>
      </c>
      <c r="J27" s="283"/>
      <c r="K27" s="283"/>
      <c r="L27" s="283"/>
      <c r="M27" s="283"/>
      <c r="N27" s="315">
        <f>SUM(G27:M27)</f>
        <v>2307872</v>
      </c>
      <c r="O27" s="608">
        <f>N27-F27</f>
        <v>-5678928</v>
      </c>
    </row>
    <row r="28" spans="1:15" ht="24">
      <c r="A28" s="610" t="s">
        <v>192</v>
      </c>
      <c r="B28" s="606" t="s">
        <v>193</v>
      </c>
      <c r="C28" s="609"/>
      <c r="D28" s="609"/>
      <c r="E28" s="607">
        <f>SUM(E29:E30)</f>
        <v>1623200</v>
      </c>
      <c r="F28" s="602">
        <f>SUM(F29:F30)</f>
        <v>1623200</v>
      </c>
      <c r="G28" s="283"/>
      <c r="H28" s="283"/>
      <c r="I28" s="283"/>
      <c r="J28" s="283"/>
      <c r="K28" s="283"/>
      <c r="L28" s="283"/>
      <c r="M28" s="283"/>
      <c r="N28" s="315"/>
      <c r="O28" s="608">
        <f t="shared" ref="O28:O30" si="6">N28-F28</f>
        <v>-1623200</v>
      </c>
    </row>
    <row r="29" spans="1:15">
      <c r="A29" s="610"/>
      <c r="B29" s="606" t="s">
        <v>194</v>
      </c>
      <c r="C29" s="611">
        <v>2</v>
      </c>
      <c r="D29" s="612">
        <v>811600</v>
      </c>
      <c r="E29" s="613">
        <f>C29*D29</f>
        <v>1623200</v>
      </c>
      <c r="F29" s="602">
        <f t="shared" si="5"/>
        <v>1623200</v>
      </c>
      <c r="G29" s="283"/>
      <c r="H29" s="283"/>
      <c r="I29" s="283"/>
      <c r="J29" s="283"/>
      <c r="K29" s="283"/>
      <c r="L29" s="283"/>
      <c r="M29" s="283"/>
      <c r="N29" s="315"/>
      <c r="O29" s="608">
        <f t="shared" si="6"/>
        <v>-1623200</v>
      </c>
    </row>
    <row r="30" spans="1:15" ht="24">
      <c r="A30" s="610"/>
      <c r="B30" s="606" t="s">
        <v>195</v>
      </c>
      <c r="C30" s="611"/>
      <c r="D30" s="612"/>
      <c r="E30" s="613">
        <v>0</v>
      </c>
      <c r="F30" s="602">
        <f t="shared" si="5"/>
        <v>0</v>
      </c>
      <c r="G30" s="283"/>
      <c r="H30" s="283"/>
      <c r="I30" s="283"/>
      <c r="J30" s="283"/>
      <c r="K30" s="283"/>
      <c r="L30" s="283"/>
      <c r="M30" s="283"/>
      <c r="N30" s="315"/>
      <c r="O30" s="608">
        <f t="shared" si="6"/>
        <v>0</v>
      </c>
    </row>
    <row r="31" spans="1:15" ht="24.75" thickBot="1">
      <c r="A31" s="614" t="s">
        <v>196</v>
      </c>
      <c r="B31" s="615" t="s">
        <v>197</v>
      </c>
      <c r="C31" s="616"/>
      <c r="D31" s="616"/>
      <c r="E31" s="617">
        <f>SUM(E24,E27,E28)</f>
        <v>58611250</v>
      </c>
      <c r="F31" s="618">
        <f>E31</f>
        <v>58611250</v>
      </c>
      <c r="G31" s="373">
        <f>SUM(G19:G30)</f>
        <v>14361987</v>
      </c>
      <c r="H31" s="373">
        <f t="shared" ref="H31:N31" si="7">SUM(H19:H30)</f>
        <v>7927771</v>
      </c>
      <c r="I31" s="373">
        <f t="shared" si="7"/>
        <v>2307872</v>
      </c>
      <c r="J31" s="373">
        <f t="shared" si="7"/>
        <v>0</v>
      </c>
      <c r="K31" s="373">
        <f t="shared" si="7"/>
        <v>0</v>
      </c>
      <c r="L31" s="373">
        <f t="shared" si="7"/>
        <v>0</v>
      </c>
      <c r="M31" s="373">
        <f t="shared" si="7"/>
        <v>0</v>
      </c>
      <c r="N31" s="373">
        <f t="shared" si="7"/>
        <v>24597630</v>
      </c>
      <c r="O31" s="619">
        <f>SUM(O24,O27,O28)</f>
        <v>-34013620</v>
      </c>
    </row>
    <row r="32" spans="1:15" s="626" customFormat="1" ht="45">
      <c r="A32" s="620"/>
      <c r="B32" s="621"/>
      <c r="C32" s="622"/>
      <c r="D32" s="622"/>
      <c r="E32" s="623"/>
      <c r="F32" s="624"/>
      <c r="G32" s="593" t="s">
        <v>706</v>
      </c>
      <c r="H32" s="593" t="s">
        <v>707</v>
      </c>
      <c r="I32" s="593" t="s">
        <v>709</v>
      </c>
      <c r="J32" s="593" t="s">
        <v>710</v>
      </c>
      <c r="K32" s="594"/>
      <c r="L32" s="594"/>
      <c r="M32" s="594"/>
      <c r="N32" s="594"/>
      <c r="O32" s="625"/>
    </row>
    <row r="33" spans="1:16" ht="26.25">
      <c r="A33" s="627" t="s">
        <v>198</v>
      </c>
      <c r="B33" s="628" t="s">
        <v>199</v>
      </c>
      <c r="C33" s="569"/>
      <c r="D33" s="569"/>
      <c r="E33" s="629">
        <v>9889974</v>
      </c>
      <c r="F33" s="630">
        <f t="shared" ref="F33:F43" si="8">E33</f>
        <v>9889974</v>
      </c>
      <c r="G33" s="283">
        <f>'Kiadások összesen'!F26</f>
        <v>1373200</v>
      </c>
      <c r="H33" s="283"/>
      <c r="I33" s="283">
        <f>'Étkeztetési feladatok'!K69</f>
        <v>1842834</v>
      </c>
      <c r="J33" s="283">
        <f>'Önkormányzat Átadott pénzeszköz'!F12</f>
        <v>0</v>
      </c>
      <c r="K33" s="283"/>
      <c r="L33" s="283"/>
      <c r="M33" s="283"/>
      <c r="N33" s="567">
        <f>SUM(G33:M33)</f>
        <v>3216034</v>
      </c>
      <c r="O33" s="371">
        <f>N33-F33</f>
        <v>-6673940</v>
      </c>
    </row>
    <row r="34" spans="1:16" hidden="1">
      <c r="A34" s="631" t="s">
        <v>200</v>
      </c>
      <c r="B34" s="632" t="s">
        <v>201</v>
      </c>
      <c r="C34" s="633"/>
      <c r="D34" s="634"/>
      <c r="E34" s="635">
        <f>SUM(E35)</f>
        <v>0</v>
      </c>
      <c r="F34" s="630">
        <f t="shared" si="8"/>
        <v>0</v>
      </c>
      <c r="G34" s="283"/>
      <c r="H34" s="283"/>
      <c r="I34" s="283"/>
      <c r="J34" s="283"/>
      <c r="K34" s="283"/>
      <c r="L34" s="283"/>
      <c r="M34" s="283"/>
      <c r="N34" s="567">
        <f t="shared" ref="N34:N39" si="9">SUM(G34:M34)</f>
        <v>0</v>
      </c>
      <c r="O34" s="371">
        <f t="shared" ref="O34:O39" si="10">N34-F34</f>
        <v>0</v>
      </c>
    </row>
    <row r="35" spans="1:16" hidden="1">
      <c r="A35" s="636"/>
      <c r="B35" s="637" t="s">
        <v>202</v>
      </c>
      <c r="C35" s="606" t="s">
        <v>203</v>
      </c>
      <c r="D35" s="606">
        <v>9</v>
      </c>
      <c r="E35" s="607"/>
      <c r="F35" s="630">
        <f t="shared" si="8"/>
        <v>0</v>
      </c>
      <c r="G35" s="283"/>
      <c r="H35" s="283"/>
      <c r="I35" s="283"/>
      <c r="J35" s="283"/>
      <c r="K35" s="283"/>
      <c r="L35" s="283"/>
      <c r="M35" s="283"/>
      <c r="N35" s="567">
        <f t="shared" si="9"/>
        <v>0</v>
      </c>
      <c r="O35" s="371">
        <f t="shared" si="10"/>
        <v>0</v>
      </c>
    </row>
    <row r="36" spans="1:16">
      <c r="A36" s="638" t="s">
        <v>204</v>
      </c>
      <c r="B36" s="639" t="s">
        <v>205</v>
      </c>
      <c r="C36" s="569"/>
      <c r="D36" s="569"/>
      <c r="E36" s="565">
        <f>SUM(E37:E38)</f>
        <v>11927519.999999998</v>
      </c>
      <c r="F36" s="565">
        <f t="shared" ref="F36:G36" si="11">SUM(F37:F38)</f>
        <v>11927519.999999998</v>
      </c>
      <c r="G36" s="565">
        <f t="shared" si="11"/>
        <v>0</v>
      </c>
      <c r="H36" s="565">
        <f>'Étkeztetési feladatok'!E69+Óvoda!AL108-'Saját bevételek'!G18</f>
        <v>8829652</v>
      </c>
      <c r="I36" s="283"/>
      <c r="J36" s="283"/>
      <c r="K36" s="283"/>
      <c r="L36" s="283"/>
      <c r="M36" s="283"/>
      <c r="N36" s="567">
        <f t="shared" si="9"/>
        <v>8829652</v>
      </c>
      <c r="O36" s="371">
        <f t="shared" si="10"/>
        <v>-3097867.9999999981</v>
      </c>
    </row>
    <row r="37" spans="1:16">
      <c r="A37" s="640" t="s">
        <v>206</v>
      </c>
      <c r="B37" s="641" t="s">
        <v>207</v>
      </c>
      <c r="C37" s="641">
        <v>5.0199999999999996</v>
      </c>
      <c r="D37" s="642">
        <v>2376000</v>
      </c>
      <c r="E37" s="575">
        <f>C37*D37</f>
        <v>11927519.999999998</v>
      </c>
      <c r="F37" s="630">
        <f t="shared" si="8"/>
        <v>11927519.999999998</v>
      </c>
      <c r="G37" s="283"/>
      <c r="H37" s="283"/>
      <c r="I37" s="283"/>
      <c r="J37" s="283"/>
      <c r="K37" s="283"/>
      <c r="L37" s="283"/>
      <c r="M37" s="283"/>
      <c r="N37" s="567">
        <f t="shared" si="9"/>
        <v>0</v>
      </c>
      <c r="O37" s="371">
        <f t="shared" si="10"/>
        <v>-11927519.999999998</v>
      </c>
    </row>
    <row r="38" spans="1:16">
      <c r="A38" s="640" t="s">
        <v>208</v>
      </c>
      <c r="B38" s="641" t="s">
        <v>209</v>
      </c>
      <c r="C38" s="569"/>
      <c r="D38" s="569"/>
      <c r="E38" s="575"/>
      <c r="F38" s="630">
        <f t="shared" si="8"/>
        <v>0</v>
      </c>
      <c r="G38" s="283"/>
      <c r="H38" s="283"/>
      <c r="I38" s="283"/>
      <c r="J38" s="283"/>
      <c r="K38" s="283"/>
      <c r="L38" s="283"/>
      <c r="M38" s="283"/>
      <c r="N38" s="567">
        <f t="shared" si="9"/>
        <v>0</v>
      </c>
      <c r="O38" s="371">
        <f t="shared" si="10"/>
        <v>0</v>
      </c>
    </row>
    <row r="39" spans="1:16">
      <c r="A39" s="638" t="s">
        <v>210</v>
      </c>
      <c r="B39" s="639" t="s">
        <v>211</v>
      </c>
      <c r="C39" s="633"/>
      <c r="D39" s="634"/>
      <c r="E39" s="635">
        <f>SUM(Normatíva2022!E45)</f>
        <v>157320</v>
      </c>
      <c r="F39" s="630">
        <f t="shared" si="8"/>
        <v>157320</v>
      </c>
      <c r="G39" s="283"/>
      <c r="H39" s="283">
        <f>'Étkeztetési feladatok'!H69</f>
        <v>0</v>
      </c>
      <c r="I39" s="283"/>
      <c r="J39" s="283"/>
      <c r="K39" s="283"/>
      <c r="L39" s="283"/>
      <c r="M39" s="283"/>
      <c r="N39" s="567">
        <f t="shared" si="9"/>
        <v>0</v>
      </c>
      <c r="O39" s="371">
        <f t="shared" si="10"/>
        <v>-157320</v>
      </c>
    </row>
    <row r="40" spans="1:16" ht="39" thickBot="1">
      <c r="A40" s="643" t="s">
        <v>212</v>
      </c>
      <c r="B40" s="644" t="s">
        <v>213</v>
      </c>
      <c r="C40" s="579"/>
      <c r="D40" s="579"/>
      <c r="E40" s="645">
        <f>SUM(E33,E34,E36,E39)</f>
        <v>21974814</v>
      </c>
      <c r="F40" s="645">
        <f t="shared" ref="F40:O40" si="12">SUM(F33,F34,F36,F39)</f>
        <v>21974814</v>
      </c>
      <c r="G40" s="645">
        <f t="shared" si="12"/>
        <v>1373200</v>
      </c>
      <c r="H40" s="645">
        <f t="shared" si="12"/>
        <v>8829652</v>
      </c>
      <c r="I40" s="645">
        <f t="shared" si="12"/>
        <v>1842834</v>
      </c>
      <c r="J40" s="645">
        <f t="shared" si="12"/>
        <v>0</v>
      </c>
      <c r="K40" s="645">
        <f t="shared" si="12"/>
        <v>0</v>
      </c>
      <c r="L40" s="645">
        <f t="shared" si="12"/>
        <v>0</v>
      </c>
      <c r="M40" s="645">
        <f t="shared" si="12"/>
        <v>0</v>
      </c>
      <c r="N40" s="645">
        <f t="shared" si="12"/>
        <v>12045686</v>
      </c>
      <c r="O40" s="646">
        <f t="shared" si="12"/>
        <v>-9929127.9999999981</v>
      </c>
    </row>
    <row r="41" spans="1:16">
      <c r="A41" s="647"/>
      <c r="B41" s="648"/>
      <c r="C41" s="649"/>
      <c r="D41" s="649"/>
      <c r="E41" s="650"/>
      <c r="F41" s="651"/>
      <c r="G41" s="650" t="s">
        <v>708</v>
      </c>
      <c r="H41" s="650"/>
      <c r="I41" s="650"/>
      <c r="J41" s="650"/>
      <c r="K41" s="650"/>
      <c r="L41" s="650"/>
      <c r="M41" s="650"/>
      <c r="N41" s="650"/>
      <c r="O41" s="652"/>
    </row>
    <row r="42" spans="1:16">
      <c r="A42" s="653"/>
      <c r="B42" s="562" t="s">
        <v>214</v>
      </c>
      <c r="C42" s="563">
        <v>2170</v>
      </c>
      <c r="D42" s="563">
        <f>4565680/2170</f>
        <v>2104</v>
      </c>
      <c r="E42" s="565">
        <f>C42*D42</f>
        <v>4565680</v>
      </c>
      <c r="F42" s="630">
        <f t="shared" si="8"/>
        <v>4565680</v>
      </c>
      <c r="G42" s="283">
        <f>'Kulturális szolgáltatás'!E65</f>
        <v>2445856</v>
      </c>
      <c r="H42" s="283"/>
      <c r="I42" s="283"/>
      <c r="J42" s="283"/>
      <c r="K42" s="283"/>
      <c r="L42" s="283"/>
      <c r="M42" s="283"/>
      <c r="N42" s="283">
        <f>SUM(G42:M42)</f>
        <v>2445856</v>
      </c>
      <c r="O42" s="654">
        <f>N42-F42</f>
        <v>-2119824</v>
      </c>
    </row>
    <row r="43" spans="1:16" ht="26.25" thickBot="1">
      <c r="A43" s="643" t="s">
        <v>216</v>
      </c>
      <c r="B43" s="644" t="s">
        <v>217</v>
      </c>
      <c r="C43" s="579"/>
      <c r="D43" s="579"/>
      <c r="E43" s="645">
        <f>E42</f>
        <v>4565680</v>
      </c>
      <c r="F43" s="618">
        <f t="shared" si="8"/>
        <v>4565680</v>
      </c>
      <c r="G43" s="373">
        <f>SUM(G42)</f>
        <v>2445856</v>
      </c>
      <c r="H43" s="373">
        <f t="shared" ref="H43:M43" si="13">SUM(H42)</f>
        <v>0</v>
      </c>
      <c r="I43" s="373">
        <f t="shared" si="13"/>
        <v>0</v>
      </c>
      <c r="J43" s="373">
        <f t="shared" si="13"/>
        <v>0</v>
      </c>
      <c r="K43" s="373">
        <f t="shared" si="13"/>
        <v>0</v>
      </c>
      <c r="L43" s="373">
        <f t="shared" si="13"/>
        <v>0</v>
      </c>
      <c r="M43" s="373">
        <f t="shared" si="13"/>
        <v>0</v>
      </c>
      <c r="N43" s="373">
        <f t="shared" ref="N43" si="14">SUM(N42)</f>
        <v>2445856</v>
      </c>
      <c r="O43" s="619">
        <f t="shared" ref="O43" si="15">SUM(O42)</f>
        <v>-2119824</v>
      </c>
    </row>
    <row r="44" spans="1:16" ht="30">
      <c r="A44" s="647"/>
      <c r="B44" s="648"/>
      <c r="C44" s="649"/>
      <c r="D44" s="649"/>
      <c r="E44" s="650"/>
      <c r="F44" s="655"/>
      <c r="G44" s="656" t="s">
        <v>711</v>
      </c>
      <c r="H44" s="656" t="s">
        <v>712</v>
      </c>
      <c r="I44" s="657" t="s">
        <v>713</v>
      </c>
      <c r="J44" s="366"/>
      <c r="K44" s="366"/>
      <c r="L44" s="366"/>
      <c r="M44" s="366"/>
      <c r="N44" s="366"/>
      <c r="O44" s="658"/>
    </row>
    <row r="45" spans="1:16" ht="26.25" thickBot="1">
      <c r="A45" s="643" t="s">
        <v>218</v>
      </c>
      <c r="B45" s="644" t="s">
        <v>639</v>
      </c>
      <c r="C45" s="579"/>
      <c r="D45" s="579"/>
      <c r="E45" s="645"/>
      <c r="F45" s="618"/>
      <c r="G45" s="373"/>
      <c r="H45" s="373">
        <f>Óvoda!G19</f>
        <v>0</v>
      </c>
      <c r="I45" s="373">
        <f>Óvoda!P19</f>
        <v>0</v>
      </c>
      <c r="J45" s="373"/>
      <c r="K45" s="373"/>
      <c r="L45" s="373"/>
      <c r="M45" s="373"/>
      <c r="N45" s="659"/>
      <c r="O45" s="660"/>
    </row>
    <row r="46" spans="1:16" ht="15.75" thickBot="1">
      <c r="A46" s="661" t="s">
        <v>649</v>
      </c>
      <c r="B46" s="662" t="s">
        <v>650</v>
      </c>
      <c r="C46" s="663"/>
      <c r="D46" s="663"/>
      <c r="E46" s="664"/>
      <c r="F46" s="665"/>
      <c r="G46" s="666"/>
      <c r="H46" s="666"/>
      <c r="I46" s="666"/>
      <c r="J46" s="666"/>
      <c r="K46" s="666"/>
      <c r="L46" s="666"/>
      <c r="M46" s="666"/>
      <c r="N46" s="667"/>
      <c r="O46" s="667"/>
    </row>
    <row r="47" spans="1:16" ht="42.75" customHeight="1" thickBot="1">
      <c r="A47" s="1184" t="s">
        <v>219</v>
      </c>
      <c r="B47" s="1185"/>
      <c r="C47" s="668"/>
      <c r="D47" s="668"/>
      <c r="E47" s="669">
        <f>SUM(E43,E40,E31,E17)</f>
        <v>137334974</v>
      </c>
      <c r="F47" s="670">
        <f>SUM(F43,F40,F31,F17,F45,F46)</f>
        <v>137334974</v>
      </c>
      <c r="G47" s="670">
        <f t="shared" ref="G47:O47" si="16">SUM(G43,G40,G31,G17,G45,G46)</f>
        <v>51967260</v>
      </c>
      <c r="H47" s="670">
        <f t="shared" si="16"/>
        <v>16757423</v>
      </c>
      <c r="I47" s="670">
        <f t="shared" si="16"/>
        <v>8131158</v>
      </c>
      <c r="J47" s="670">
        <f t="shared" si="16"/>
        <v>2704182</v>
      </c>
      <c r="K47" s="670">
        <f t="shared" si="16"/>
        <v>2192</v>
      </c>
      <c r="L47" s="670">
        <f t="shared" si="16"/>
        <v>443958</v>
      </c>
      <c r="M47" s="670">
        <f t="shared" si="16"/>
        <v>2236942</v>
      </c>
      <c r="N47" s="670">
        <f t="shared" si="16"/>
        <v>82243115</v>
      </c>
      <c r="O47" s="671">
        <f t="shared" si="16"/>
        <v>-64903039</v>
      </c>
      <c r="P47" s="256" t="s">
        <v>714</v>
      </c>
    </row>
  </sheetData>
  <mergeCells count="19">
    <mergeCell ref="A19:A24"/>
    <mergeCell ref="A25:A27"/>
    <mergeCell ref="A47:B47"/>
    <mergeCell ref="E2:F2"/>
    <mergeCell ref="A1:A5"/>
    <mergeCell ref="B1:B5"/>
    <mergeCell ref="C3:E3"/>
    <mergeCell ref="C4:F5"/>
    <mergeCell ref="C1:F1"/>
    <mergeCell ref="G1:O3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  <pageSetUpPr fitToPage="1"/>
  </sheetPr>
  <dimension ref="A1:L63"/>
  <sheetViews>
    <sheetView view="pageBreakPreview" topLeftCell="A13" zoomScaleNormal="100" zoomScaleSheetLayoutView="100" workbookViewId="0">
      <selection activeCell="F52" sqref="F52"/>
    </sheetView>
  </sheetViews>
  <sheetFormatPr defaultColWidth="8.7109375" defaultRowHeight="15"/>
  <cols>
    <col min="1" max="1" width="13.140625" style="1020" customWidth="1"/>
    <col min="2" max="2" width="71.85546875" style="1020" bestFit="1" customWidth="1"/>
    <col min="3" max="3" width="7.140625" style="1020" hidden="1" customWidth="1"/>
    <col min="4" max="4" width="16.7109375" style="1020" hidden="1" customWidth="1"/>
    <col min="5" max="5" width="24.42578125" style="1054" bestFit="1" customWidth="1"/>
    <col min="6" max="6" width="24.42578125" style="1054" customWidth="1"/>
    <col min="7" max="7" width="22.140625" style="1054" customWidth="1"/>
    <col min="8" max="8" width="18.7109375" style="1020" bestFit="1" customWidth="1"/>
    <col min="9" max="16384" width="8.7109375" style="1020"/>
  </cols>
  <sheetData>
    <row r="1" spans="1:8">
      <c r="A1" s="1020" t="s">
        <v>440</v>
      </c>
    </row>
    <row r="3" spans="1:8">
      <c r="B3" s="1200" t="s">
        <v>920</v>
      </c>
      <c r="C3" s="1200"/>
      <c r="D3" s="1200"/>
      <c r="E3" s="1200"/>
      <c r="F3" s="1055"/>
    </row>
    <row r="4" spans="1:8">
      <c r="A4" s="1054"/>
      <c r="B4" s="1203" t="s">
        <v>956</v>
      </c>
      <c r="C4" s="1203"/>
      <c r="D4" s="1203"/>
    </row>
    <row r="5" spans="1:8">
      <c r="A5" s="1054"/>
    </row>
    <row r="6" spans="1:8" ht="17.25" customHeight="1">
      <c r="A6" s="1208" t="s">
        <v>919</v>
      </c>
      <c r="B6" s="1208"/>
      <c r="C6" s="1208"/>
      <c r="D6" s="1208"/>
      <c r="E6" s="1208"/>
      <c r="F6" s="1208"/>
      <c r="G6" s="1208"/>
      <c r="H6" s="1208"/>
    </row>
    <row r="7" spans="1:8">
      <c r="A7" s="1208"/>
      <c r="B7" s="1208"/>
      <c r="C7" s="1208"/>
      <c r="D7" s="1208"/>
      <c r="E7" s="1208"/>
      <c r="F7" s="1208"/>
      <c r="G7" s="1208"/>
      <c r="H7" s="1208"/>
    </row>
    <row r="8" spans="1:8">
      <c r="A8" s="1055"/>
      <c r="B8" s="1055"/>
      <c r="C8" s="1055"/>
      <c r="D8" s="1055"/>
      <c r="E8" s="1055"/>
      <c r="F8" s="1056"/>
    </row>
    <row r="9" spans="1:8">
      <c r="A9" s="1204" t="s">
        <v>154</v>
      </c>
      <c r="B9" s="1205" t="s">
        <v>155</v>
      </c>
      <c r="C9" s="1205" t="s">
        <v>156</v>
      </c>
      <c r="D9" s="1205"/>
      <c r="E9" s="1205"/>
      <c r="F9" s="1205"/>
      <c r="G9" s="1205"/>
      <c r="H9" s="1205"/>
    </row>
    <row r="10" spans="1:8">
      <c r="A10" s="1204"/>
      <c r="B10" s="1205"/>
      <c r="C10" s="1057" t="s">
        <v>157</v>
      </c>
      <c r="D10" s="1057" t="s">
        <v>158</v>
      </c>
      <c r="E10" s="1207" t="s">
        <v>159</v>
      </c>
      <c r="F10" s="1207"/>
      <c r="G10" s="1207"/>
      <c r="H10" s="1215" t="s">
        <v>640</v>
      </c>
    </row>
    <row r="11" spans="1:8" ht="28.5">
      <c r="A11" s="1204"/>
      <c r="B11" s="1205"/>
      <c r="C11" s="1206" t="s">
        <v>160</v>
      </c>
      <c r="D11" s="1206"/>
      <c r="E11" s="1206"/>
      <c r="F11" s="1058" t="s">
        <v>648</v>
      </c>
      <c r="G11" s="1114" t="s">
        <v>1050</v>
      </c>
      <c r="H11" s="1216"/>
    </row>
    <row r="12" spans="1:8">
      <c r="A12" s="1204"/>
      <c r="B12" s="1205"/>
      <c r="C12" s="1209" t="s">
        <v>1058</v>
      </c>
      <c r="D12" s="1210"/>
      <c r="E12" s="1210"/>
      <c r="F12" s="1210"/>
      <c r="G12" s="1210"/>
      <c r="H12" s="1211"/>
    </row>
    <row r="13" spans="1:8">
      <c r="A13" s="1204"/>
      <c r="B13" s="1205"/>
      <c r="C13" s="1212"/>
      <c r="D13" s="1213"/>
      <c r="E13" s="1213"/>
      <c r="F13" s="1213"/>
      <c r="G13" s="1213"/>
      <c r="H13" s="1214"/>
    </row>
    <row r="14" spans="1:8" hidden="1">
      <c r="A14" s="1059" t="s">
        <v>161</v>
      </c>
      <c r="B14" s="1060" t="s">
        <v>162</v>
      </c>
      <c r="C14" s="1061">
        <v>6.06</v>
      </c>
      <c r="D14" s="1062" t="s">
        <v>163</v>
      </c>
      <c r="E14" s="1063">
        <v>27754800</v>
      </c>
      <c r="F14" s="1063"/>
      <c r="G14" s="1064"/>
      <c r="H14" s="1065"/>
    </row>
    <row r="15" spans="1:8" hidden="1">
      <c r="A15" s="1060" t="s">
        <v>164</v>
      </c>
      <c r="B15" s="1060" t="s">
        <v>165</v>
      </c>
      <c r="C15" s="1066"/>
      <c r="D15" s="1066"/>
      <c r="E15" s="1063">
        <f>SUM(E16:E19)</f>
        <v>9156604</v>
      </c>
      <c r="F15" s="1063"/>
      <c r="G15" s="1064"/>
      <c r="H15" s="1065"/>
    </row>
    <row r="16" spans="1:8" hidden="1">
      <c r="A16" s="1067" t="s">
        <v>166</v>
      </c>
      <c r="B16" s="1068" t="s">
        <v>167</v>
      </c>
      <c r="C16" s="1066"/>
      <c r="D16" s="1066"/>
      <c r="E16" s="1069">
        <v>2847710</v>
      </c>
      <c r="F16" s="1069"/>
      <c r="G16" s="1064"/>
      <c r="H16" s="1065"/>
    </row>
    <row r="17" spans="1:8" hidden="1">
      <c r="A17" s="1070" t="s">
        <v>168</v>
      </c>
      <c r="B17" s="1068" t="s">
        <v>169</v>
      </c>
      <c r="C17" s="1066"/>
      <c r="D17" s="1066"/>
      <c r="E17" s="1071">
        <v>4320000</v>
      </c>
      <c r="F17" s="1071"/>
      <c r="G17" s="1064"/>
      <c r="H17" s="1065"/>
    </row>
    <row r="18" spans="1:8" hidden="1">
      <c r="A18" s="1070" t="s">
        <v>170</v>
      </c>
      <c r="B18" s="1068" t="s">
        <v>171</v>
      </c>
      <c r="C18" s="1066"/>
      <c r="D18" s="1066"/>
      <c r="E18" s="1071">
        <v>120684</v>
      </c>
      <c r="F18" s="1071"/>
      <c r="G18" s="1064"/>
      <c r="H18" s="1065"/>
    </row>
    <row r="19" spans="1:8" hidden="1">
      <c r="A19" s="1070" t="s">
        <v>172</v>
      </c>
      <c r="B19" s="1068" t="s">
        <v>173</v>
      </c>
      <c r="C19" s="1066"/>
      <c r="D19" s="1066"/>
      <c r="E19" s="1071">
        <v>1868210</v>
      </c>
      <c r="F19" s="1071"/>
      <c r="G19" s="1064"/>
      <c r="H19" s="1065"/>
    </row>
    <row r="20" spans="1:8" hidden="1">
      <c r="A20" s="1060" t="s">
        <v>174</v>
      </c>
      <c r="B20" s="1072" t="s">
        <v>175</v>
      </c>
      <c r="C20" s="1066"/>
      <c r="D20" s="1066"/>
      <c r="E20" s="1063">
        <v>3668471</v>
      </c>
      <c r="F20" s="1063"/>
      <c r="G20" s="1064"/>
      <c r="H20" s="1065"/>
    </row>
    <row r="21" spans="1:8" hidden="1">
      <c r="A21" s="1060" t="s">
        <v>176</v>
      </c>
      <c r="B21" s="1072" t="s">
        <v>177</v>
      </c>
      <c r="C21" s="1066"/>
      <c r="D21" s="1066"/>
      <c r="E21" s="1063">
        <v>316200</v>
      </c>
      <c r="F21" s="1063"/>
      <c r="G21" s="1064"/>
      <c r="H21" s="1065"/>
    </row>
    <row r="22" spans="1:8" hidden="1">
      <c r="A22" s="1060" t="s">
        <v>178</v>
      </c>
      <c r="B22" s="1072" t="s">
        <v>179</v>
      </c>
      <c r="C22" s="1066"/>
      <c r="D22" s="1066"/>
      <c r="E22" s="1063">
        <v>0</v>
      </c>
      <c r="F22" s="1063"/>
      <c r="G22" s="1064"/>
      <c r="H22" s="1065"/>
    </row>
    <row r="23" spans="1:8" hidden="1">
      <c r="A23" s="1060"/>
      <c r="B23" s="1072" t="s">
        <v>225</v>
      </c>
      <c r="C23" s="1066"/>
      <c r="D23" s="1066"/>
      <c r="E23" s="1063">
        <v>1041000</v>
      </c>
      <c r="F23" s="1063"/>
      <c r="G23" s="1064"/>
      <c r="H23" s="1065"/>
    </row>
    <row r="24" spans="1:8" hidden="1">
      <c r="A24" s="1060"/>
      <c r="B24" s="1072" t="s">
        <v>226</v>
      </c>
      <c r="C24" s="1066"/>
      <c r="D24" s="1066"/>
      <c r="E24" s="1063"/>
      <c r="F24" s="1063"/>
      <c r="G24" s="1064"/>
      <c r="H24" s="1065"/>
    </row>
    <row r="25" spans="1:8">
      <c r="A25" s="1073" t="s">
        <v>180</v>
      </c>
      <c r="B25" s="1074" t="s">
        <v>181</v>
      </c>
      <c r="C25" s="1066"/>
      <c r="D25" s="1066"/>
      <c r="E25" s="1075">
        <v>53852890</v>
      </c>
      <c r="F25" s="1075">
        <f>E25</f>
        <v>53852890</v>
      </c>
      <c r="G25" s="1064">
        <v>23695271</v>
      </c>
      <c r="H25" s="1076">
        <f>G25/E25</f>
        <v>0.43999998885853664</v>
      </c>
    </row>
    <row r="26" spans="1:8" hidden="1">
      <c r="A26" s="1217" t="s">
        <v>182</v>
      </c>
      <c r="B26" s="1077" t="s">
        <v>183</v>
      </c>
      <c r="C26" s="1078">
        <v>5.8</v>
      </c>
      <c r="D26" s="1079">
        <v>4419000</v>
      </c>
      <c r="E26" s="1080">
        <v>17086800</v>
      </c>
      <c r="F26" s="1075">
        <f t="shared" ref="F26:F62" si="0">E26</f>
        <v>17086800</v>
      </c>
      <c r="G26" s="1064"/>
      <c r="H26" s="1076">
        <f t="shared" ref="H26:H62" si="1">G26/E26</f>
        <v>0</v>
      </c>
    </row>
    <row r="27" spans="1:8" hidden="1">
      <c r="A27" s="1217"/>
      <c r="B27" s="1077" t="s">
        <v>184</v>
      </c>
      <c r="C27" s="1078">
        <v>5.7</v>
      </c>
      <c r="D27" s="1079">
        <v>4419000</v>
      </c>
      <c r="E27" s="1080">
        <v>8396100</v>
      </c>
      <c r="F27" s="1075">
        <f t="shared" si="0"/>
        <v>8396100</v>
      </c>
      <c r="G27" s="1064"/>
      <c r="H27" s="1076">
        <f t="shared" si="1"/>
        <v>0</v>
      </c>
    </row>
    <row r="28" spans="1:8" hidden="1">
      <c r="A28" s="1217"/>
      <c r="B28" s="1077"/>
      <c r="C28" s="1081"/>
      <c r="D28" s="1081"/>
      <c r="E28" s="1080"/>
      <c r="F28" s="1075">
        <f t="shared" si="0"/>
        <v>0</v>
      </c>
      <c r="G28" s="1064"/>
      <c r="H28" s="1076" t="e">
        <f t="shared" si="1"/>
        <v>#DIV/0!</v>
      </c>
    </row>
    <row r="29" spans="1:8" hidden="1">
      <c r="A29" s="1217"/>
      <c r="B29" s="1077" t="s">
        <v>185</v>
      </c>
      <c r="C29" s="1078">
        <v>4</v>
      </c>
      <c r="D29" s="1079">
        <v>2205000</v>
      </c>
      <c r="E29" s="1080">
        <v>5880000</v>
      </c>
      <c r="F29" s="1075">
        <f t="shared" si="0"/>
        <v>5880000</v>
      </c>
      <c r="G29" s="1064"/>
      <c r="H29" s="1076">
        <f t="shared" si="1"/>
        <v>0</v>
      </c>
    </row>
    <row r="30" spans="1:8" hidden="1">
      <c r="A30" s="1217"/>
      <c r="B30" s="1077" t="s">
        <v>186</v>
      </c>
      <c r="C30" s="1078">
        <v>4</v>
      </c>
      <c r="D30" s="1079">
        <v>2205000</v>
      </c>
      <c r="E30" s="1080">
        <v>2940000</v>
      </c>
      <c r="F30" s="1075">
        <f t="shared" si="0"/>
        <v>2940000</v>
      </c>
      <c r="G30" s="1064"/>
      <c r="H30" s="1076">
        <f t="shared" si="1"/>
        <v>0</v>
      </c>
    </row>
    <row r="31" spans="1:8" ht="24" hidden="1">
      <c r="A31" s="1217"/>
      <c r="B31" s="1082" t="s">
        <v>187</v>
      </c>
      <c r="C31" s="1083"/>
      <c r="D31" s="1083"/>
      <c r="E31" s="1084">
        <f>SUM(E26:E30)</f>
        <v>34302900</v>
      </c>
      <c r="F31" s="1075">
        <f t="shared" si="0"/>
        <v>34302900</v>
      </c>
      <c r="G31" s="1064"/>
      <c r="H31" s="1076">
        <f t="shared" si="1"/>
        <v>0</v>
      </c>
    </row>
    <row r="32" spans="1:8" hidden="1">
      <c r="A32" s="1217" t="s">
        <v>188</v>
      </c>
      <c r="B32" s="1077" t="s">
        <v>189</v>
      </c>
      <c r="C32" s="1078">
        <v>60</v>
      </c>
      <c r="D32" s="1079">
        <v>81700</v>
      </c>
      <c r="E32" s="1080">
        <v>3268000</v>
      </c>
      <c r="F32" s="1075">
        <f t="shared" si="0"/>
        <v>3268000</v>
      </c>
      <c r="G32" s="1064"/>
      <c r="H32" s="1076">
        <f t="shared" si="1"/>
        <v>0</v>
      </c>
    </row>
    <row r="33" spans="1:8" hidden="1">
      <c r="A33" s="1217"/>
      <c r="B33" s="1077" t="s">
        <v>190</v>
      </c>
      <c r="C33" s="1078">
        <v>59</v>
      </c>
      <c r="D33" s="1079">
        <v>81700</v>
      </c>
      <c r="E33" s="1080">
        <v>1606057</v>
      </c>
      <c r="F33" s="1075">
        <f t="shared" si="0"/>
        <v>1606057</v>
      </c>
      <c r="G33" s="1064"/>
      <c r="H33" s="1076">
        <f t="shared" si="1"/>
        <v>0</v>
      </c>
    </row>
    <row r="34" spans="1:8" hidden="1">
      <c r="A34" s="1217"/>
      <c r="B34" s="1085" t="s">
        <v>191</v>
      </c>
      <c r="C34" s="1086"/>
      <c r="D34" s="1086"/>
      <c r="E34" s="1084">
        <f>SUM(E32:E33)</f>
        <v>4874057</v>
      </c>
      <c r="F34" s="1075">
        <f t="shared" si="0"/>
        <v>4874057</v>
      </c>
      <c r="G34" s="1064"/>
      <c r="H34" s="1076">
        <f t="shared" si="1"/>
        <v>0</v>
      </c>
    </row>
    <row r="35" spans="1:8">
      <c r="A35" s="1087" t="s">
        <v>192</v>
      </c>
      <c r="B35" s="1088" t="s">
        <v>1046</v>
      </c>
      <c r="C35" s="1086"/>
      <c r="D35" s="1086"/>
      <c r="E35" s="1084">
        <v>3246400</v>
      </c>
      <c r="F35" s="1075">
        <f t="shared" si="0"/>
        <v>3246400</v>
      </c>
      <c r="G35" s="1064"/>
      <c r="H35" s="1076">
        <f t="shared" si="1"/>
        <v>0</v>
      </c>
    </row>
    <row r="36" spans="1:8" hidden="1">
      <c r="A36" s="1087"/>
      <c r="B36" s="1082" t="s">
        <v>194</v>
      </c>
      <c r="C36" s="1089">
        <v>3</v>
      </c>
      <c r="D36" s="1090">
        <v>401000</v>
      </c>
      <c r="E36" s="1091">
        <v>1203000</v>
      </c>
      <c r="F36" s="1075">
        <f t="shared" si="0"/>
        <v>1203000</v>
      </c>
      <c r="G36" s="1064"/>
      <c r="H36" s="1076">
        <f t="shared" si="1"/>
        <v>0</v>
      </c>
    </row>
    <row r="37" spans="1:8" hidden="1">
      <c r="A37" s="1087"/>
      <c r="B37" s="1082" t="s">
        <v>195</v>
      </c>
      <c r="C37" s="1089"/>
      <c r="D37" s="1090"/>
      <c r="E37" s="1091"/>
      <c r="F37" s="1075">
        <f t="shared" si="0"/>
        <v>0</v>
      </c>
      <c r="G37" s="1064"/>
      <c r="H37" s="1076" t="e">
        <f t="shared" si="1"/>
        <v>#DIV/0!</v>
      </c>
    </row>
    <row r="38" spans="1:8" ht="37.5" customHeight="1">
      <c r="A38" s="1092" t="s">
        <v>196</v>
      </c>
      <c r="B38" s="1093" t="s">
        <v>197</v>
      </c>
      <c r="C38" s="1083"/>
      <c r="D38" s="1083"/>
      <c r="E38" s="1094">
        <v>67722710</v>
      </c>
      <c r="F38" s="1075">
        <f>E38</f>
        <v>67722710</v>
      </c>
      <c r="G38" s="1064">
        <v>31226409</v>
      </c>
      <c r="H38" s="1076">
        <f t="shared" si="1"/>
        <v>0.46109213585811909</v>
      </c>
    </row>
    <row r="39" spans="1:8">
      <c r="A39" s="1095" t="s">
        <v>198</v>
      </c>
      <c r="B39" s="1074" t="s">
        <v>1047</v>
      </c>
      <c r="C39" s="1066"/>
      <c r="D39" s="1066"/>
      <c r="E39" s="1075">
        <v>9409000</v>
      </c>
      <c r="F39" s="1075">
        <f t="shared" si="0"/>
        <v>9409000</v>
      </c>
      <c r="G39" s="1064">
        <v>4139960</v>
      </c>
      <c r="H39" s="1076">
        <f t="shared" si="1"/>
        <v>0.44</v>
      </c>
    </row>
    <row r="40" spans="1:8" hidden="1">
      <c r="A40" s="1096" t="s">
        <v>200</v>
      </c>
      <c r="B40" s="1096" t="s">
        <v>201</v>
      </c>
      <c r="C40" s="1097"/>
      <c r="D40" s="1098"/>
      <c r="E40" s="1099">
        <f>SUM(E41)</f>
        <v>0</v>
      </c>
      <c r="F40" s="1075">
        <f t="shared" si="0"/>
        <v>0</v>
      </c>
      <c r="G40" s="1064"/>
      <c r="H40" s="1076" t="e">
        <f t="shared" si="1"/>
        <v>#DIV/0!</v>
      </c>
    </row>
    <row r="41" spans="1:8" hidden="1">
      <c r="A41" s="1092"/>
      <c r="B41" s="1093" t="s">
        <v>202</v>
      </c>
      <c r="C41" s="1083" t="s">
        <v>203</v>
      </c>
      <c r="D41" s="1083">
        <v>9</v>
      </c>
      <c r="E41" s="1094"/>
      <c r="F41" s="1075">
        <f t="shared" si="0"/>
        <v>0</v>
      </c>
      <c r="G41" s="1064"/>
      <c r="H41" s="1076" t="e">
        <f t="shared" si="1"/>
        <v>#DIV/0!</v>
      </c>
    </row>
    <row r="42" spans="1:8">
      <c r="A42" s="1100" t="s">
        <v>204</v>
      </c>
      <c r="B42" s="1100" t="s">
        <v>205</v>
      </c>
      <c r="C42" s="1066"/>
      <c r="D42" s="1066"/>
      <c r="E42" s="1580">
        <f>18015339-157320</f>
        <v>17858019</v>
      </c>
      <c r="F42" s="1075">
        <f t="shared" si="0"/>
        <v>17858019</v>
      </c>
      <c r="G42" s="1064">
        <v>7926748</v>
      </c>
      <c r="H42" s="1076">
        <f t="shared" si="1"/>
        <v>0.44387610966255553</v>
      </c>
    </row>
    <row r="43" spans="1:8" hidden="1">
      <c r="A43" s="1062" t="s">
        <v>206</v>
      </c>
      <c r="B43" s="1068" t="s">
        <v>207</v>
      </c>
      <c r="C43" s="1068">
        <v>5.26</v>
      </c>
      <c r="D43" s="1101" t="s">
        <v>395</v>
      </c>
      <c r="E43" s="1071">
        <v>9994000</v>
      </c>
      <c r="F43" s="1075">
        <f t="shared" si="0"/>
        <v>9994000</v>
      </c>
      <c r="G43" s="1064"/>
      <c r="H43" s="1076">
        <f t="shared" si="1"/>
        <v>0</v>
      </c>
    </row>
    <row r="44" spans="1:8" hidden="1">
      <c r="A44" s="1062" t="s">
        <v>208</v>
      </c>
      <c r="B44" s="1068" t="s">
        <v>209</v>
      </c>
      <c r="C44" s="1066"/>
      <c r="D44" s="1066"/>
      <c r="E44" s="1071">
        <v>8063386</v>
      </c>
      <c r="F44" s="1075">
        <f t="shared" si="0"/>
        <v>8063386</v>
      </c>
      <c r="G44" s="1064"/>
      <c r="H44" s="1076">
        <f t="shared" si="1"/>
        <v>0</v>
      </c>
    </row>
    <row r="45" spans="1:8">
      <c r="A45" s="1100" t="s">
        <v>210</v>
      </c>
      <c r="B45" s="1100" t="s">
        <v>211</v>
      </c>
      <c r="C45" s="1097"/>
      <c r="D45" s="1098"/>
      <c r="E45" s="1099">
        <v>157320</v>
      </c>
      <c r="F45" s="1075">
        <f t="shared" si="0"/>
        <v>157320</v>
      </c>
      <c r="G45" s="1064">
        <v>0</v>
      </c>
      <c r="H45" s="1076">
        <f t="shared" si="1"/>
        <v>0</v>
      </c>
    </row>
    <row r="46" spans="1:8" ht="43.5" customHeight="1">
      <c r="A46" s="1073" t="s">
        <v>212</v>
      </c>
      <c r="B46" s="1102" t="s">
        <v>213</v>
      </c>
      <c r="C46" s="1066"/>
      <c r="D46" s="1066"/>
      <c r="E46" s="1580">
        <f>SUM(E39,E42,E45)</f>
        <v>27424339</v>
      </c>
      <c r="F46" s="1075">
        <f>SUM(F39,F42,F45)</f>
        <v>27424339</v>
      </c>
      <c r="G46" s="1075">
        <f>SUM(G39,G42,G45)</f>
        <v>12066708</v>
      </c>
      <c r="H46" s="1076">
        <f t="shared" si="1"/>
        <v>0.43999995770180639</v>
      </c>
    </row>
    <row r="47" spans="1:8" hidden="1">
      <c r="A47" s="1066"/>
      <c r="B47" s="1060" t="s">
        <v>214</v>
      </c>
      <c r="C47" s="1061" t="s">
        <v>536</v>
      </c>
      <c r="D47" s="1061" t="s">
        <v>215</v>
      </c>
      <c r="E47" s="1063">
        <v>2456300</v>
      </c>
      <c r="F47" s="1075">
        <f t="shared" si="0"/>
        <v>2456300</v>
      </c>
      <c r="G47" s="1064"/>
      <c r="H47" s="1076">
        <f t="shared" si="1"/>
        <v>0</v>
      </c>
    </row>
    <row r="48" spans="1:8">
      <c r="A48" s="1073" t="s">
        <v>216</v>
      </c>
      <c r="B48" s="1102" t="s">
        <v>217</v>
      </c>
      <c r="C48" s="1066"/>
      <c r="D48" s="1066"/>
      <c r="E48" s="1580">
        <v>4722542</v>
      </c>
      <c r="F48" s="1075">
        <f t="shared" si="0"/>
        <v>4722542</v>
      </c>
      <c r="G48" s="1064">
        <v>2077917</v>
      </c>
      <c r="H48" s="1076">
        <f t="shared" si="1"/>
        <v>0.43999968660945737</v>
      </c>
    </row>
    <row r="49" spans="1:12">
      <c r="A49" s="1073" t="s">
        <v>218</v>
      </c>
      <c r="B49" s="1102" t="s">
        <v>639</v>
      </c>
      <c r="C49" s="1066"/>
      <c r="D49" s="1066"/>
      <c r="E49" s="1075">
        <v>26400000</v>
      </c>
      <c r="F49" s="1075">
        <f t="shared" si="0"/>
        <v>26400000</v>
      </c>
      <c r="G49" s="1103">
        <v>3610011</v>
      </c>
      <c r="H49" s="1076">
        <f t="shared" si="1"/>
        <v>0.13674284090909092</v>
      </c>
    </row>
    <row r="50" spans="1:12">
      <c r="A50" s="1073" t="s">
        <v>649</v>
      </c>
      <c r="B50" s="1102" t="s">
        <v>650</v>
      </c>
      <c r="C50" s="1066"/>
      <c r="D50" s="1066"/>
      <c r="E50" s="1075">
        <v>0</v>
      </c>
      <c r="F50" s="1075">
        <v>39670</v>
      </c>
      <c r="G50" s="1064">
        <v>39670</v>
      </c>
      <c r="H50" s="1076" t="e">
        <f t="shared" si="1"/>
        <v>#DIV/0!</v>
      </c>
    </row>
    <row r="51" spans="1:12">
      <c r="A51" s="1073"/>
      <c r="B51" s="1102" t="s">
        <v>1061</v>
      </c>
      <c r="C51" s="1066"/>
      <c r="D51" s="1066"/>
      <c r="E51" s="1075">
        <v>0</v>
      </c>
      <c r="F51" s="1075">
        <v>2500000</v>
      </c>
      <c r="G51" s="1064"/>
      <c r="H51" s="1076"/>
    </row>
    <row r="52" spans="1:12" ht="45.75" customHeight="1">
      <c r="A52" s="1199" t="s">
        <v>219</v>
      </c>
      <c r="B52" s="1199"/>
      <c r="C52" s="1066"/>
      <c r="D52" s="1066"/>
      <c r="E52" s="1104">
        <f>SUM(E46,E38,E35,E25,E48,E49,E50,E51)</f>
        <v>183368881</v>
      </c>
      <c r="F52" s="1104">
        <f>SUM(F46,F38,F35,F25,F48,F49,F50,F51)</f>
        <v>185908551</v>
      </c>
      <c r="G52" s="1104">
        <f>SUM(G46,G38,G35,G25,G48,G49,G50)</f>
        <v>72715986</v>
      </c>
      <c r="H52" s="1076">
        <f t="shared" si="1"/>
        <v>0.39655576018921118</v>
      </c>
    </row>
    <row r="53" spans="1:12">
      <c r="A53" s="1201" t="s">
        <v>220</v>
      </c>
      <c r="B53" s="1105" t="s">
        <v>221</v>
      </c>
      <c r="C53" s="1106"/>
      <c r="D53" s="1106"/>
      <c r="E53" s="1107">
        <v>15070800</v>
      </c>
      <c r="F53" s="1075">
        <v>19329005</v>
      </c>
      <c r="G53" s="1107">
        <f>SUM(G54:G56)</f>
        <v>6698000</v>
      </c>
      <c r="H53" s="1076">
        <f t="shared" si="1"/>
        <v>0.44443559731401122</v>
      </c>
    </row>
    <row r="54" spans="1:12">
      <c r="A54" s="1201"/>
      <c r="B54" s="1108" t="s">
        <v>222</v>
      </c>
      <c r="C54" s="87"/>
      <c r="D54" s="87"/>
      <c r="E54" s="1109"/>
      <c r="F54" s="1075">
        <f t="shared" si="0"/>
        <v>0</v>
      </c>
      <c r="G54" s="1064">
        <v>4195500</v>
      </c>
      <c r="H54" s="1076" t="e">
        <f t="shared" si="1"/>
        <v>#DIV/0!</v>
      </c>
    </row>
    <row r="55" spans="1:12">
      <c r="A55" s="1201"/>
      <c r="B55" s="1108" t="s">
        <v>1048</v>
      </c>
      <c r="C55" s="87"/>
      <c r="D55" s="87"/>
      <c r="E55" s="1109"/>
      <c r="F55" s="1075">
        <f t="shared" si="0"/>
        <v>0</v>
      </c>
      <c r="G55" s="1064">
        <v>2436000</v>
      </c>
      <c r="H55" s="1076" t="e">
        <f t="shared" si="1"/>
        <v>#DIV/0!</v>
      </c>
    </row>
    <row r="56" spans="1:12">
      <c r="A56" s="1201"/>
      <c r="B56" s="1108" t="s">
        <v>1049</v>
      </c>
      <c r="C56" s="87"/>
      <c r="D56" s="87"/>
      <c r="E56" s="1109"/>
      <c r="F56" s="1075">
        <f t="shared" si="0"/>
        <v>0</v>
      </c>
      <c r="G56" s="1064">
        <v>66500</v>
      </c>
      <c r="H56" s="1076" t="e">
        <f t="shared" si="1"/>
        <v>#DIV/0!</v>
      </c>
    </row>
    <row r="57" spans="1:12" ht="32.25" customHeight="1">
      <c r="A57" s="1201"/>
      <c r="B57" s="1105" t="s">
        <v>223</v>
      </c>
      <c r="C57" s="1105"/>
      <c r="D57" s="1105"/>
      <c r="E57" s="1110">
        <f>E58</f>
        <v>0</v>
      </c>
      <c r="F57" s="1075">
        <f t="shared" si="0"/>
        <v>0</v>
      </c>
      <c r="G57" s="1111">
        <f>G58</f>
        <v>605333</v>
      </c>
      <c r="H57" s="1076" t="e">
        <f t="shared" si="1"/>
        <v>#DIV/0!</v>
      </c>
      <c r="L57" s="1076"/>
    </row>
    <row r="58" spans="1:12">
      <c r="A58" s="1201"/>
      <c r="B58" s="1108" t="s">
        <v>224</v>
      </c>
      <c r="C58" s="87"/>
      <c r="D58" s="87"/>
      <c r="E58" s="1109"/>
      <c r="F58" s="1075">
        <f t="shared" si="0"/>
        <v>0</v>
      </c>
      <c r="G58" s="1103">
        <v>605333</v>
      </c>
      <c r="H58" s="1076" t="e">
        <f t="shared" si="1"/>
        <v>#DIV/0!</v>
      </c>
    </row>
    <row r="59" spans="1:12">
      <c r="A59" s="1201"/>
      <c r="B59" s="1105"/>
      <c r="C59" s="1065"/>
      <c r="D59" s="1065"/>
      <c r="E59" s="1064">
        <v>0</v>
      </c>
      <c r="F59" s="1075">
        <f t="shared" si="0"/>
        <v>0</v>
      </c>
      <c r="G59" s="1064"/>
      <c r="H59" s="1076" t="e">
        <f t="shared" si="1"/>
        <v>#DIV/0!</v>
      </c>
    </row>
    <row r="60" spans="1:12">
      <c r="A60" s="1201"/>
      <c r="B60" s="1066" t="s">
        <v>641</v>
      </c>
      <c r="C60" s="1065"/>
      <c r="D60" s="1065"/>
      <c r="E60" s="1064"/>
      <c r="F60" s="1075">
        <f t="shared" si="0"/>
        <v>0</v>
      </c>
      <c r="G60" s="1064">
        <v>25000</v>
      </c>
      <c r="H60" s="1076" t="e">
        <f t="shared" si="1"/>
        <v>#DIV/0!</v>
      </c>
    </row>
    <row r="61" spans="1:12">
      <c r="A61" s="1201"/>
      <c r="B61" s="1202" t="s">
        <v>153</v>
      </c>
      <c r="C61" s="1202"/>
      <c r="D61" s="1202"/>
      <c r="E61" s="1112">
        <f>SUM(E53,E57,E59,E60)</f>
        <v>15070800</v>
      </c>
      <c r="F61" s="1112">
        <f>SUM(F53,F57,F59,F60)</f>
        <v>19329005</v>
      </c>
      <c r="G61" s="1112">
        <f>SUM(G53,G57,G59,G60)</f>
        <v>7328333</v>
      </c>
      <c r="H61" s="1076">
        <f t="shared" si="1"/>
        <v>0.48626038431934604</v>
      </c>
    </row>
    <row r="62" spans="1:12" ht="30">
      <c r="A62" s="1073" t="s">
        <v>345</v>
      </c>
      <c r="B62" s="1113" t="s">
        <v>827</v>
      </c>
      <c r="C62" s="1065"/>
      <c r="D62" s="1065"/>
      <c r="E62" s="1064">
        <v>0</v>
      </c>
      <c r="F62" s="1075">
        <f t="shared" si="0"/>
        <v>0</v>
      </c>
      <c r="G62" s="1064">
        <v>52011992</v>
      </c>
      <c r="H62" s="1076" t="e">
        <f t="shared" si="1"/>
        <v>#DIV/0!</v>
      </c>
    </row>
    <row r="63" spans="1:12">
      <c r="G63" s="1054">
        <f>SUM(G62,G61,G57,G53,G52)</f>
        <v>139359644</v>
      </c>
    </row>
  </sheetData>
  <mergeCells count="15">
    <mergeCell ref="A52:B52"/>
    <mergeCell ref="B3:E3"/>
    <mergeCell ref="A53:A61"/>
    <mergeCell ref="B61:D61"/>
    <mergeCell ref="B4:D4"/>
    <mergeCell ref="A9:A13"/>
    <mergeCell ref="B9:B13"/>
    <mergeCell ref="C11:E11"/>
    <mergeCell ref="E10:G10"/>
    <mergeCell ref="A6:H7"/>
    <mergeCell ref="C9:H9"/>
    <mergeCell ref="C12:H13"/>
    <mergeCell ref="H10:H11"/>
    <mergeCell ref="A26:A31"/>
    <mergeCell ref="A32:A34"/>
  </mergeCells>
  <pageMargins left="0.7" right="0.7" top="0.75" bottom="0.75" header="0.3" footer="0.3"/>
  <pageSetup paperSize="9" scale="7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  <pageSetUpPr fitToPage="1"/>
  </sheetPr>
  <dimension ref="A1:F21"/>
  <sheetViews>
    <sheetView view="pageBreakPreview" topLeftCell="A10" zoomScale="140" zoomScaleNormal="100" zoomScaleSheetLayoutView="140" workbookViewId="0">
      <selection activeCell="D15" sqref="D15"/>
    </sheetView>
  </sheetViews>
  <sheetFormatPr defaultColWidth="8.7109375" defaultRowHeight="15.75"/>
  <cols>
    <col min="1" max="1" width="29.85546875" style="535" customWidth="1"/>
    <col min="2" max="2" width="19.28515625" style="535" customWidth="1"/>
    <col min="3" max="4" width="24.28515625" style="672" customWidth="1"/>
    <col min="5" max="5" width="19.7109375" style="672" bestFit="1" customWidth="1"/>
    <col min="6" max="6" width="12.5703125" style="535" customWidth="1"/>
    <col min="7" max="16384" width="8.7109375" style="535"/>
  </cols>
  <sheetData>
    <row r="1" spans="1:6">
      <c r="A1" s="535" t="s">
        <v>441</v>
      </c>
    </row>
    <row r="3" spans="1:6" ht="15.75" customHeight="1">
      <c r="A3" s="1218" t="s">
        <v>836</v>
      </c>
      <c r="B3" s="1218"/>
      <c r="C3" s="1218"/>
      <c r="D3" s="1218"/>
      <c r="E3" s="1218"/>
      <c r="F3" s="1218"/>
    </row>
    <row r="4" spans="1:6" ht="15.75" customHeight="1">
      <c r="A4" s="673"/>
      <c r="B4" s="674"/>
      <c r="C4" s="675"/>
      <c r="D4" s="675"/>
    </row>
    <row r="5" spans="1:6">
      <c r="A5" s="676"/>
      <c r="B5" s="676"/>
    </row>
    <row r="6" spans="1:6" ht="31.5">
      <c r="A6" s="677" t="s">
        <v>333</v>
      </c>
      <c r="B6" s="677" t="s">
        <v>3</v>
      </c>
      <c r="C6" s="678" t="s">
        <v>837</v>
      </c>
      <c r="D6" s="678" t="s">
        <v>838</v>
      </c>
      <c r="E6" s="678" t="s">
        <v>957</v>
      </c>
      <c r="F6" s="695" t="s">
        <v>637</v>
      </c>
    </row>
    <row r="7" spans="1:6" ht="15.75" customHeight="1">
      <c r="A7" s="688" t="s">
        <v>379</v>
      </c>
      <c r="B7" s="689" t="s">
        <v>380</v>
      </c>
      <c r="C7" s="690">
        <f>SUM(C8:C10)</f>
        <v>7320000</v>
      </c>
      <c r="D7" s="690">
        <f>C7</f>
        <v>7320000</v>
      </c>
      <c r="E7" s="690">
        <f>SUM(E8:E10)</f>
        <v>5024646</v>
      </c>
      <c r="F7" s="691">
        <f>E7/C7</f>
        <v>0.68642704918032782</v>
      </c>
    </row>
    <row r="8" spans="1:6">
      <c r="A8" s="1219" t="s">
        <v>381</v>
      </c>
      <c r="B8" s="1219"/>
      <c r="C8" s="684">
        <v>3500000</v>
      </c>
      <c r="D8" s="684">
        <f t="shared" ref="D8:D21" si="0">C8</f>
        <v>3500000</v>
      </c>
      <c r="E8" s="470">
        <v>2280460</v>
      </c>
      <c r="F8" s="683">
        <f t="shared" ref="F8:F21" si="1">E8/C8</f>
        <v>0.65156000000000003</v>
      </c>
    </row>
    <row r="9" spans="1:6">
      <c r="A9" s="1219" t="s">
        <v>382</v>
      </c>
      <c r="B9" s="1219"/>
      <c r="C9" s="684">
        <v>3320000</v>
      </c>
      <c r="D9" s="684">
        <f t="shared" si="0"/>
        <v>3320000</v>
      </c>
      <c r="E9" s="470">
        <v>2537006</v>
      </c>
      <c r="F9" s="683">
        <f t="shared" si="1"/>
        <v>0.76415843373493975</v>
      </c>
    </row>
    <row r="10" spans="1:6">
      <c r="A10" s="1219" t="s">
        <v>383</v>
      </c>
      <c r="B10" s="1219"/>
      <c r="C10" s="684">
        <v>500000</v>
      </c>
      <c r="D10" s="684">
        <f t="shared" si="0"/>
        <v>500000</v>
      </c>
      <c r="E10" s="470">
        <v>207180</v>
      </c>
      <c r="F10" s="683">
        <f t="shared" si="1"/>
        <v>0.41436000000000001</v>
      </c>
    </row>
    <row r="11" spans="1:6">
      <c r="A11" s="680" t="s">
        <v>384</v>
      </c>
      <c r="B11" s="681" t="s">
        <v>385</v>
      </c>
      <c r="C11" s="682">
        <f>SUM(C12)</f>
        <v>33000000</v>
      </c>
      <c r="D11" s="682">
        <f t="shared" si="0"/>
        <v>33000000</v>
      </c>
      <c r="E11" s="682">
        <v>13820187</v>
      </c>
      <c r="F11" s="683">
        <f t="shared" si="1"/>
        <v>0.41879354545454545</v>
      </c>
    </row>
    <row r="12" spans="1:6" ht="33" customHeight="1">
      <c r="A12" s="1219" t="s">
        <v>386</v>
      </c>
      <c r="B12" s="1219"/>
      <c r="C12" s="684">
        <v>33000000</v>
      </c>
      <c r="D12" s="684">
        <f t="shared" si="0"/>
        <v>33000000</v>
      </c>
      <c r="E12" s="470">
        <v>13820187</v>
      </c>
      <c r="F12" s="683">
        <f t="shared" si="1"/>
        <v>0.41879354545454545</v>
      </c>
    </row>
    <row r="13" spans="1:6">
      <c r="A13" s="680" t="s">
        <v>387</v>
      </c>
      <c r="B13" s="681" t="s">
        <v>388</v>
      </c>
      <c r="C13" s="682">
        <v>0</v>
      </c>
      <c r="D13" s="682">
        <f t="shared" si="0"/>
        <v>0</v>
      </c>
      <c r="E13" s="470">
        <v>0</v>
      </c>
      <c r="F13" s="687" t="s">
        <v>811</v>
      </c>
    </row>
    <row r="14" spans="1:6" ht="31.5">
      <c r="A14" s="680" t="s">
        <v>958</v>
      </c>
      <c r="B14" s="681" t="s">
        <v>434</v>
      </c>
      <c r="C14" s="682">
        <f>SUM(C15)</f>
        <v>200000</v>
      </c>
      <c r="D14" s="682">
        <f t="shared" si="0"/>
        <v>200000</v>
      </c>
      <c r="E14" s="682">
        <f>E15</f>
        <v>77100</v>
      </c>
      <c r="F14" s="683">
        <f t="shared" si="1"/>
        <v>0.38550000000000001</v>
      </c>
    </row>
    <row r="15" spans="1:6">
      <c r="A15" s="1219" t="s">
        <v>619</v>
      </c>
      <c r="B15" s="1219"/>
      <c r="C15" s="684">
        <v>200000</v>
      </c>
      <c r="D15" s="684">
        <f t="shared" si="0"/>
        <v>200000</v>
      </c>
      <c r="E15" s="470">
        <v>77100</v>
      </c>
      <c r="F15" s="683">
        <f t="shared" si="1"/>
        <v>0.38550000000000001</v>
      </c>
    </row>
    <row r="16" spans="1:6" ht="33.75" customHeight="1">
      <c r="A16" s="688" t="s">
        <v>389</v>
      </c>
      <c r="B16" s="689" t="s">
        <v>390</v>
      </c>
      <c r="C16" s="690">
        <f>SUM(C11,C13,C14)</f>
        <v>33200000</v>
      </c>
      <c r="D16" s="690">
        <f t="shared" si="0"/>
        <v>33200000</v>
      </c>
      <c r="E16" s="690">
        <f>SUM(E11,E13,E14)</f>
        <v>13897287</v>
      </c>
      <c r="F16" s="691">
        <f t="shared" si="1"/>
        <v>0.41859298192771083</v>
      </c>
    </row>
    <row r="17" spans="1:6" ht="21.75" customHeight="1">
      <c r="A17" s="688" t="s">
        <v>391</v>
      </c>
      <c r="B17" s="689" t="s">
        <v>392</v>
      </c>
      <c r="C17" s="690">
        <f>SUM(C18:C20)</f>
        <v>200000</v>
      </c>
      <c r="D17" s="690">
        <f t="shared" si="0"/>
        <v>200000</v>
      </c>
      <c r="E17" s="690">
        <f t="shared" ref="E17" si="2">SUM(E18:E20)</f>
        <v>118122</v>
      </c>
      <c r="F17" s="691">
        <f t="shared" si="1"/>
        <v>0.59060999999999997</v>
      </c>
    </row>
    <row r="18" spans="1:6">
      <c r="A18" s="1219" t="s">
        <v>997</v>
      </c>
      <c r="B18" s="1219"/>
      <c r="C18" s="684">
        <v>0</v>
      </c>
      <c r="D18" s="684">
        <f t="shared" si="0"/>
        <v>0</v>
      </c>
      <c r="E18" s="470">
        <v>15000</v>
      </c>
      <c r="F18" s="683"/>
    </row>
    <row r="19" spans="1:6">
      <c r="A19" s="1219" t="s">
        <v>394</v>
      </c>
      <c r="B19" s="1219"/>
      <c r="C19" s="684">
        <v>200000</v>
      </c>
      <c r="D19" s="684">
        <f t="shared" si="0"/>
        <v>200000</v>
      </c>
      <c r="E19" s="470">
        <v>103122</v>
      </c>
      <c r="F19" s="683">
        <f t="shared" si="1"/>
        <v>0.51561000000000001</v>
      </c>
    </row>
    <row r="20" spans="1:6">
      <c r="A20" s="1219" t="s">
        <v>393</v>
      </c>
      <c r="B20" s="1219"/>
      <c r="C20" s="682"/>
      <c r="D20" s="682"/>
      <c r="E20" s="470"/>
      <c r="F20" s="683"/>
    </row>
    <row r="21" spans="1:6" s="698" customFormat="1" ht="39">
      <c r="A21" s="696" t="s">
        <v>348</v>
      </c>
      <c r="B21" s="692" t="s">
        <v>349</v>
      </c>
      <c r="C21" s="693">
        <f>SUM(C7,C16,C17)</f>
        <v>40720000</v>
      </c>
      <c r="D21" s="693">
        <f t="shared" si="0"/>
        <v>40720000</v>
      </c>
      <c r="E21" s="693">
        <f>SUM(E7,E16,E17)</f>
        <v>19040055</v>
      </c>
      <c r="F21" s="697">
        <f t="shared" si="1"/>
        <v>0.467584847740668</v>
      </c>
    </row>
  </sheetData>
  <mergeCells count="9">
    <mergeCell ref="A3:F3"/>
    <mergeCell ref="A18:B18"/>
    <mergeCell ref="A19:B19"/>
    <mergeCell ref="A20:B20"/>
    <mergeCell ref="A8:B8"/>
    <mergeCell ref="A9:B9"/>
    <mergeCell ref="A10:B10"/>
    <mergeCell ref="A12:B12"/>
    <mergeCell ref="A15:B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J24"/>
  <sheetViews>
    <sheetView view="pageBreakPreview" zoomScale="150" zoomScaleNormal="100" zoomScaleSheetLayoutView="150" workbookViewId="0">
      <selection activeCell="G18" sqref="G18"/>
    </sheetView>
  </sheetViews>
  <sheetFormatPr defaultColWidth="8.7109375" defaultRowHeight="15.75"/>
  <cols>
    <col min="1" max="1" width="10.7109375" style="535" customWidth="1"/>
    <col min="2" max="2" width="6.7109375" style="535" customWidth="1"/>
    <col min="3" max="3" width="16.28515625" style="535" customWidth="1"/>
    <col min="4" max="4" width="7.140625" style="535" customWidth="1"/>
    <col min="5" max="6" width="18.140625" style="672" customWidth="1"/>
    <col min="7" max="7" width="16.42578125" style="672" customWidth="1"/>
    <col min="8" max="8" width="16" style="535" bestFit="1" customWidth="1"/>
    <col min="9" max="10" width="12.5703125" style="535" bestFit="1" customWidth="1"/>
    <col min="11" max="16384" width="8.7109375" style="535"/>
  </cols>
  <sheetData>
    <row r="1" spans="1:10">
      <c r="A1" s="535" t="s">
        <v>442</v>
      </c>
    </row>
    <row r="2" spans="1:10">
      <c r="A2" s="1226" t="s">
        <v>961</v>
      </c>
      <c r="B2" s="1226"/>
      <c r="C2" s="1226"/>
      <c r="D2" s="1226"/>
      <c r="E2" s="1226"/>
      <c r="F2" s="1226"/>
      <c r="G2" s="1226"/>
      <c r="H2" s="1226"/>
    </row>
    <row r="3" spans="1:10">
      <c r="A3" s="1227"/>
      <c r="B3" s="1227"/>
      <c r="C3" s="1227"/>
      <c r="D3" s="1227"/>
      <c r="E3" s="1227"/>
      <c r="F3" s="1227"/>
      <c r="G3" s="1227"/>
      <c r="H3" s="1227"/>
    </row>
    <row r="4" spans="1:10" s="708" customFormat="1" ht="33.75" customHeight="1">
      <c r="A4" s="1232" t="s">
        <v>378</v>
      </c>
      <c r="B4" s="1232"/>
      <c r="C4" s="1232"/>
      <c r="D4" s="711" t="s">
        <v>461</v>
      </c>
      <c r="E4" s="710" t="s">
        <v>638</v>
      </c>
      <c r="F4" s="709" t="s">
        <v>648</v>
      </c>
      <c r="G4" s="709" t="s">
        <v>951</v>
      </c>
      <c r="H4" s="695" t="s">
        <v>637</v>
      </c>
    </row>
    <row r="5" spans="1:10">
      <c r="A5" s="1220" t="s">
        <v>448</v>
      </c>
      <c r="B5" s="1221"/>
      <c r="C5" s="1221"/>
      <c r="D5" s="699" t="s">
        <v>462</v>
      </c>
      <c r="E5" s="700">
        <v>0</v>
      </c>
      <c r="F5" s="700">
        <f>SUM(E5)</f>
        <v>0</v>
      </c>
      <c r="G5" s="470">
        <v>0</v>
      </c>
      <c r="H5" s="472"/>
    </row>
    <row r="6" spans="1:10" ht="30" customHeight="1">
      <c r="A6" s="1223" t="s">
        <v>449</v>
      </c>
      <c r="B6" s="1223"/>
      <c r="C6" s="1223"/>
      <c r="D6" s="1222" t="s">
        <v>143</v>
      </c>
      <c r="E6" s="700">
        <f>SUM(E7:E13)</f>
        <v>6606330</v>
      </c>
      <c r="F6" s="700">
        <f t="shared" ref="F6:F23" si="0">SUM(E6)</f>
        <v>6606330</v>
      </c>
      <c r="G6" s="700">
        <f>SUM(G7:G13)</f>
        <v>2165634</v>
      </c>
      <c r="H6" s="683">
        <f t="shared" ref="H6:H18" si="1">G6/F6</f>
        <v>0.32781196216356129</v>
      </c>
      <c r="J6" s="701"/>
    </row>
    <row r="7" spans="1:10" ht="25.5" customHeight="1">
      <c r="A7" s="1229" t="s">
        <v>653</v>
      </c>
      <c r="B7" s="1223" t="s">
        <v>452</v>
      </c>
      <c r="C7" s="1223"/>
      <c r="D7" s="1222"/>
      <c r="E7" s="700">
        <v>4147578</v>
      </c>
      <c r="F7" s="700">
        <f t="shared" si="0"/>
        <v>4147578</v>
      </c>
      <c r="G7" s="470">
        <v>259154</v>
      </c>
      <c r="H7" s="683">
        <f t="shared" si="1"/>
        <v>6.2483213094485505E-2</v>
      </c>
    </row>
    <row r="8" spans="1:10">
      <c r="A8" s="1229"/>
      <c r="B8" s="1223" t="s">
        <v>453</v>
      </c>
      <c r="C8" s="1223"/>
      <c r="D8" s="1222"/>
      <c r="E8" s="700">
        <v>430752</v>
      </c>
      <c r="F8" s="700">
        <f t="shared" si="0"/>
        <v>430752</v>
      </c>
      <c r="G8" s="470">
        <v>179480</v>
      </c>
      <c r="H8" s="683">
        <f t="shared" si="1"/>
        <v>0.41666666666666669</v>
      </c>
    </row>
    <row r="9" spans="1:10">
      <c r="A9" s="1229"/>
      <c r="B9" s="1223" t="s">
        <v>454</v>
      </c>
      <c r="C9" s="1223"/>
      <c r="D9" s="1222"/>
      <c r="E9" s="700">
        <v>1200000</v>
      </c>
      <c r="F9" s="700">
        <f t="shared" si="0"/>
        <v>1200000</v>
      </c>
      <c r="G9" s="470">
        <v>1727000</v>
      </c>
      <c r="H9" s="683">
        <f t="shared" si="1"/>
        <v>1.4391666666666667</v>
      </c>
      <c r="I9" s="701"/>
    </row>
    <row r="10" spans="1:10">
      <c r="A10" s="1229"/>
      <c r="B10" s="1223" t="s">
        <v>826</v>
      </c>
      <c r="C10" s="1223"/>
      <c r="D10" s="1222"/>
      <c r="E10" s="700">
        <v>0</v>
      </c>
      <c r="F10" s="700">
        <f t="shared" si="0"/>
        <v>0</v>
      </c>
      <c r="G10" s="470"/>
      <c r="H10" s="683"/>
    </row>
    <row r="11" spans="1:10" ht="15.75" customHeight="1">
      <c r="A11" s="1229"/>
      <c r="B11" s="1223" t="s">
        <v>455</v>
      </c>
      <c r="C11" s="1223"/>
      <c r="D11" s="1222"/>
      <c r="E11" s="700">
        <v>828000</v>
      </c>
      <c r="F11" s="700">
        <f t="shared" si="0"/>
        <v>828000</v>
      </c>
      <c r="G11" s="470"/>
      <c r="H11" s="683">
        <f t="shared" si="1"/>
        <v>0</v>
      </c>
    </row>
    <row r="12" spans="1:10" ht="23.25" customHeight="1">
      <c r="A12" s="1229"/>
      <c r="B12" s="1223" t="s">
        <v>467</v>
      </c>
      <c r="C12" s="1223"/>
      <c r="D12" s="702"/>
      <c r="E12" s="700">
        <v>0</v>
      </c>
      <c r="F12" s="700">
        <f t="shared" si="0"/>
        <v>0</v>
      </c>
      <c r="G12" s="470"/>
      <c r="H12" s="683"/>
    </row>
    <row r="13" spans="1:10" ht="27.75" customHeight="1">
      <c r="A13" s="712" t="s">
        <v>960</v>
      </c>
      <c r="B13" s="1233" t="s">
        <v>652</v>
      </c>
      <c r="C13" s="1233"/>
      <c r="D13" s="703"/>
      <c r="E13" s="700"/>
      <c r="F13" s="700">
        <f t="shared" si="0"/>
        <v>0</v>
      </c>
      <c r="G13" s="470"/>
      <c r="H13" s="683"/>
    </row>
    <row r="14" spans="1:10">
      <c r="A14" s="1220" t="s">
        <v>450</v>
      </c>
      <c r="B14" s="1221"/>
      <c r="C14" s="1221"/>
      <c r="D14" s="699" t="s">
        <v>463</v>
      </c>
      <c r="E14" s="700">
        <v>30000</v>
      </c>
      <c r="F14" s="700">
        <f t="shared" si="0"/>
        <v>30000</v>
      </c>
      <c r="G14" s="470">
        <v>39733</v>
      </c>
      <c r="H14" s="683">
        <f t="shared" si="1"/>
        <v>1.3244333333333334</v>
      </c>
      <c r="I14" s="701"/>
    </row>
    <row r="15" spans="1:10">
      <c r="A15" s="1220" t="s">
        <v>451</v>
      </c>
      <c r="B15" s="1221"/>
      <c r="C15" s="1221"/>
      <c r="D15" s="699" t="s">
        <v>464</v>
      </c>
      <c r="E15" s="700">
        <f>SUM(E16)</f>
        <v>5160550</v>
      </c>
      <c r="F15" s="700">
        <f t="shared" si="0"/>
        <v>5160550</v>
      </c>
      <c r="G15" s="700">
        <f>G16</f>
        <v>6148625</v>
      </c>
      <c r="H15" s="683">
        <f t="shared" si="1"/>
        <v>1.1914669947970662</v>
      </c>
    </row>
    <row r="16" spans="1:10">
      <c r="A16" s="1228" t="s">
        <v>651</v>
      </c>
      <c r="B16" s="1224"/>
      <c r="C16" s="1225"/>
      <c r="D16" s="699"/>
      <c r="E16" s="700">
        <v>5160550</v>
      </c>
      <c r="F16" s="700">
        <f t="shared" si="0"/>
        <v>5160550</v>
      </c>
      <c r="G16" s="470">
        <v>6148625</v>
      </c>
      <c r="H16" s="683">
        <f t="shared" si="1"/>
        <v>1.1914669947970662</v>
      </c>
    </row>
    <row r="17" spans="1:10">
      <c r="A17" s="1220" t="s">
        <v>456</v>
      </c>
      <c r="B17" s="1221"/>
      <c r="C17" s="1221"/>
      <c r="D17" s="699" t="s">
        <v>421</v>
      </c>
      <c r="E17" s="700">
        <f>E18</f>
        <v>6000000</v>
      </c>
      <c r="F17" s="700">
        <f t="shared" si="0"/>
        <v>6000000</v>
      </c>
      <c r="G17" s="700">
        <f>SUM(G18)</f>
        <v>3731487</v>
      </c>
      <c r="H17" s="683">
        <f t="shared" si="1"/>
        <v>0.62191450000000004</v>
      </c>
    </row>
    <row r="18" spans="1:10" s="1001" customFormat="1" ht="43.5" customHeight="1">
      <c r="A18" s="996"/>
      <c r="B18" s="1224" t="s">
        <v>959</v>
      </c>
      <c r="C18" s="1225"/>
      <c r="D18" s="704"/>
      <c r="E18" s="705">
        <v>6000000</v>
      </c>
      <c r="F18" s="700">
        <f t="shared" si="0"/>
        <v>6000000</v>
      </c>
      <c r="G18" s="999">
        <v>3731487</v>
      </c>
      <c r="H18" s="1000">
        <f t="shared" si="1"/>
        <v>0.62191450000000004</v>
      </c>
    </row>
    <row r="19" spans="1:10">
      <c r="A19" s="1220" t="s">
        <v>457</v>
      </c>
      <c r="B19" s="1221"/>
      <c r="C19" s="1221"/>
      <c r="D19" s="699" t="s">
        <v>423</v>
      </c>
      <c r="E19" s="1115">
        <v>0</v>
      </c>
      <c r="F19" s="1115">
        <f t="shared" si="0"/>
        <v>0</v>
      </c>
      <c r="G19" s="1147">
        <v>2678346</v>
      </c>
      <c r="H19" s="683" t="e">
        <f>G19/F19</f>
        <v>#DIV/0!</v>
      </c>
      <c r="I19" s="701"/>
    </row>
    <row r="20" spans="1:10">
      <c r="A20" s="1220" t="s">
        <v>458</v>
      </c>
      <c r="B20" s="1221"/>
      <c r="C20" s="1221"/>
      <c r="D20" s="699" t="s">
        <v>465</v>
      </c>
      <c r="E20" s="1115">
        <v>2761676</v>
      </c>
      <c r="F20" s="1115">
        <v>2761676</v>
      </c>
      <c r="G20" s="1147"/>
      <c r="H20" s="683"/>
    </row>
    <row r="21" spans="1:10" ht="15.75" customHeight="1">
      <c r="A21" s="1220" t="s">
        <v>716</v>
      </c>
      <c r="B21" s="1221"/>
      <c r="C21" s="1221"/>
      <c r="D21" s="699" t="s">
        <v>717</v>
      </c>
      <c r="E21" s="700">
        <v>100000</v>
      </c>
      <c r="F21" s="700">
        <f t="shared" si="0"/>
        <v>100000</v>
      </c>
      <c r="G21" s="470">
        <v>5109</v>
      </c>
      <c r="H21" s="683">
        <f>G21/F21</f>
        <v>5.1090000000000003E-2</v>
      </c>
    </row>
    <row r="22" spans="1:10">
      <c r="A22" s="1220" t="s">
        <v>654</v>
      </c>
      <c r="B22" s="1221"/>
      <c r="C22" s="1221"/>
      <c r="D22" s="699" t="s">
        <v>655</v>
      </c>
      <c r="E22" s="700">
        <v>25000</v>
      </c>
      <c r="F22" s="700">
        <f t="shared" si="0"/>
        <v>25000</v>
      </c>
      <c r="G22" s="470"/>
      <c r="H22" s="683">
        <f>G22/F22</f>
        <v>0</v>
      </c>
    </row>
    <row r="23" spans="1:10">
      <c r="A23" s="1220" t="s">
        <v>459</v>
      </c>
      <c r="B23" s="1221"/>
      <c r="C23" s="1221"/>
      <c r="D23" s="699" t="s">
        <v>466</v>
      </c>
      <c r="E23" s="700">
        <v>50000</v>
      </c>
      <c r="F23" s="700">
        <f t="shared" si="0"/>
        <v>50000</v>
      </c>
      <c r="G23" s="470">
        <v>413</v>
      </c>
      <c r="H23" s="683">
        <f>G23/F23</f>
        <v>8.26E-3</v>
      </c>
    </row>
    <row r="24" spans="1:10">
      <c r="A24" s="1230" t="s">
        <v>460</v>
      </c>
      <c r="B24" s="1231"/>
      <c r="C24" s="1231"/>
      <c r="D24" s="706"/>
      <c r="E24" s="707">
        <f>SUM(E5,E6,E14,E15,E17,E19,E20,E22,E23,E21)</f>
        <v>20733556</v>
      </c>
      <c r="F24" s="707">
        <f>SUM(F5,F6,F14,F15,F17,F19,F20,F22,F23,F21)</f>
        <v>20733556</v>
      </c>
      <c r="G24" s="707">
        <f t="shared" ref="G24" si="2">SUM(G5,G6,G14,G15,G17,G19,G20,G22,G23,G21)</f>
        <v>14769347</v>
      </c>
      <c r="H24" s="683">
        <f>G24/F24</f>
        <v>0.71234027583112125</v>
      </c>
      <c r="J24" s="701"/>
    </row>
  </sheetData>
  <mergeCells count="24">
    <mergeCell ref="A2:H3"/>
    <mergeCell ref="A16:C16"/>
    <mergeCell ref="A7:A12"/>
    <mergeCell ref="A23:C23"/>
    <mergeCell ref="A24:C24"/>
    <mergeCell ref="A4:C4"/>
    <mergeCell ref="B7:C7"/>
    <mergeCell ref="B8:C8"/>
    <mergeCell ref="B9:C9"/>
    <mergeCell ref="B10:C10"/>
    <mergeCell ref="B11:C11"/>
    <mergeCell ref="A19:C19"/>
    <mergeCell ref="A20:C20"/>
    <mergeCell ref="A22:C22"/>
    <mergeCell ref="A17:C17"/>
    <mergeCell ref="B13:C13"/>
    <mergeCell ref="A21:C21"/>
    <mergeCell ref="D6:D11"/>
    <mergeCell ref="B12:C12"/>
    <mergeCell ref="A15:C15"/>
    <mergeCell ref="A5:C5"/>
    <mergeCell ref="A6:C6"/>
    <mergeCell ref="A14:C14"/>
    <mergeCell ref="B18:C18"/>
  </mergeCells>
  <pageMargins left="0.7" right="0.7" top="0.75" bottom="0.75" header="0.3" footer="0.3"/>
  <pageSetup paperSize="9" scale="81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  <pageSetUpPr fitToPage="1"/>
  </sheetPr>
  <dimension ref="A1:H43"/>
  <sheetViews>
    <sheetView view="pageBreakPreview" topLeftCell="C1" zoomScale="110" zoomScaleNormal="100" zoomScaleSheetLayoutView="110" workbookViewId="0">
      <selection activeCell="E42" sqref="E42"/>
    </sheetView>
  </sheetViews>
  <sheetFormatPr defaultColWidth="19.42578125" defaultRowHeight="15.75"/>
  <cols>
    <col min="1" max="1" width="19.42578125" style="330"/>
    <col min="2" max="2" width="44.5703125" style="330" customWidth="1"/>
    <col min="3" max="3" width="27.42578125" style="330" customWidth="1"/>
    <col min="4" max="4" width="27.42578125" style="331" customWidth="1"/>
    <col min="5" max="5" width="19.42578125" style="332"/>
    <col min="6" max="16384" width="19.42578125" style="330"/>
  </cols>
  <sheetData>
    <row r="1" spans="1:8">
      <c r="A1" s="330" t="s">
        <v>443</v>
      </c>
    </row>
    <row r="2" spans="1:8">
      <c r="A2" s="1237" t="s">
        <v>620</v>
      </c>
      <c r="B2" s="1237"/>
      <c r="C2" s="1237"/>
      <c r="D2" s="1237"/>
      <c r="E2" s="1237"/>
      <c r="F2" s="1237"/>
      <c r="G2" s="1237"/>
    </row>
    <row r="3" spans="1:8" ht="16.5" thickBot="1"/>
    <row r="4" spans="1:8" s="339" customFormat="1" ht="27" thickBot="1">
      <c r="A4" s="333" t="s">
        <v>722</v>
      </c>
      <c r="B4" s="334" t="s">
        <v>378</v>
      </c>
      <c r="C4" s="334" t="s">
        <v>723</v>
      </c>
      <c r="D4" s="335" t="s">
        <v>847</v>
      </c>
      <c r="E4" s="336" t="s">
        <v>848</v>
      </c>
      <c r="F4" s="337" t="s">
        <v>849</v>
      </c>
      <c r="G4" s="338" t="s">
        <v>850</v>
      </c>
      <c r="H4" s="338" t="s">
        <v>851</v>
      </c>
    </row>
    <row r="5" spans="1:8">
      <c r="A5" s="340" t="s">
        <v>852</v>
      </c>
      <c r="B5" s="341" t="s">
        <v>724</v>
      </c>
      <c r="C5" s="341" t="s">
        <v>725</v>
      </c>
      <c r="D5" s="342">
        <v>331111</v>
      </c>
      <c r="E5" s="343">
        <v>1313361</v>
      </c>
      <c r="F5" s="344">
        <v>99</v>
      </c>
      <c r="G5" s="345">
        <v>44561</v>
      </c>
      <c r="H5" s="345">
        <v>44564</v>
      </c>
    </row>
    <row r="6" spans="1:8">
      <c r="A6" s="346" t="s">
        <v>853</v>
      </c>
      <c r="B6" s="255" t="s">
        <v>854</v>
      </c>
      <c r="C6" s="255" t="s">
        <v>728</v>
      </c>
      <c r="D6" s="347">
        <v>331111</v>
      </c>
      <c r="E6" s="348">
        <v>865766</v>
      </c>
      <c r="F6" s="349">
        <v>139</v>
      </c>
      <c r="G6" s="350">
        <v>44561</v>
      </c>
      <c r="H6" s="350">
        <v>44564</v>
      </c>
    </row>
    <row r="7" spans="1:8">
      <c r="A7" s="346" t="s">
        <v>855</v>
      </c>
      <c r="B7" s="255" t="s">
        <v>726</v>
      </c>
      <c r="C7" s="255" t="s">
        <v>727</v>
      </c>
      <c r="D7" s="347">
        <v>331111</v>
      </c>
      <c r="E7" s="348">
        <v>3498250</v>
      </c>
      <c r="F7" s="349">
        <v>41</v>
      </c>
      <c r="G7" s="350">
        <v>44561</v>
      </c>
      <c r="H7" s="350">
        <v>44564</v>
      </c>
    </row>
    <row r="8" spans="1:8">
      <c r="A8" s="346" t="s">
        <v>856</v>
      </c>
      <c r="B8" s="255" t="s">
        <v>857</v>
      </c>
      <c r="C8" s="255" t="s">
        <v>729</v>
      </c>
      <c r="D8" s="347">
        <v>331111</v>
      </c>
      <c r="E8" s="348">
        <v>89498239</v>
      </c>
      <c r="F8" s="349">
        <v>207</v>
      </c>
      <c r="G8" s="350">
        <v>44561</v>
      </c>
      <c r="H8" s="350">
        <v>44564</v>
      </c>
    </row>
    <row r="9" spans="1:8">
      <c r="A9" s="346" t="s">
        <v>858</v>
      </c>
      <c r="B9" s="247" t="s">
        <v>859</v>
      </c>
      <c r="C9" s="247" t="s">
        <v>730</v>
      </c>
      <c r="D9" s="347">
        <v>331122</v>
      </c>
      <c r="E9" s="348">
        <v>0</v>
      </c>
      <c r="F9" s="349">
        <v>19</v>
      </c>
      <c r="G9" s="350">
        <v>44551</v>
      </c>
      <c r="H9" s="350"/>
    </row>
    <row r="10" spans="1:8">
      <c r="A10" s="346" t="s">
        <v>860</v>
      </c>
      <c r="B10" s="247" t="s">
        <v>731</v>
      </c>
      <c r="C10" s="247" t="s">
        <v>732</v>
      </c>
      <c r="D10" s="347">
        <v>3311291</v>
      </c>
      <c r="E10" s="348">
        <v>2457761</v>
      </c>
      <c r="F10" s="349">
        <v>1</v>
      </c>
      <c r="G10" s="350">
        <v>44273</v>
      </c>
      <c r="H10" s="350"/>
    </row>
    <row r="11" spans="1:8" ht="25.5">
      <c r="A11" s="346" t="s">
        <v>861</v>
      </c>
      <c r="B11" s="247" t="s">
        <v>733</v>
      </c>
      <c r="C11" s="247" t="s">
        <v>734</v>
      </c>
      <c r="D11" s="347">
        <v>331129901</v>
      </c>
      <c r="E11" s="348">
        <v>2127592</v>
      </c>
      <c r="F11" s="349">
        <v>1</v>
      </c>
      <c r="G11" s="350">
        <v>44195</v>
      </c>
      <c r="H11" s="350"/>
    </row>
    <row r="12" spans="1:8" ht="25.5">
      <c r="A12" s="346" t="s">
        <v>862</v>
      </c>
      <c r="B12" s="247" t="s">
        <v>863</v>
      </c>
      <c r="C12" s="247" t="s">
        <v>735</v>
      </c>
      <c r="D12" s="347">
        <v>331129902</v>
      </c>
      <c r="E12" s="348">
        <v>15465</v>
      </c>
      <c r="F12" s="349">
        <v>1</v>
      </c>
      <c r="G12" s="350">
        <v>43837</v>
      </c>
      <c r="H12" s="350"/>
    </row>
    <row r="13" spans="1:8">
      <c r="A13" s="346" t="s">
        <v>864</v>
      </c>
      <c r="B13" s="247" t="s">
        <v>736</v>
      </c>
      <c r="C13" s="247" t="s">
        <v>737</v>
      </c>
      <c r="D13" s="347">
        <v>3311311</v>
      </c>
      <c r="E13" s="348">
        <v>3600</v>
      </c>
      <c r="F13" s="349">
        <v>97</v>
      </c>
      <c r="G13" s="350">
        <v>44560</v>
      </c>
      <c r="H13" s="350"/>
    </row>
    <row r="14" spans="1:8">
      <c r="A14" s="346" t="s">
        <v>865</v>
      </c>
      <c r="B14" s="247" t="s">
        <v>738</v>
      </c>
      <c r="C14" s="247" t="s">
        <v>739</v>
      </c>
      <c r="D14" s="347">
        <v>3311312</v>
      </c>
      <c r="E14" s="348">
        <v>0</v>
      </c>
      <c r="F14" s="349">
        <v>21</v>
      </c>
      <c r="G14" s="350">
        <v>44551</v>
      </c>
      <c r="H14" s="350"/>
    </row>
    <row r="15" spans="1:8">
      <c r="A15" s="346" t="s">
        <v>866</v>
      </c>
      <c r="B15" s="247" t="s">
        <v>867</v>
      </c>
      <c r="C15" s="247" t="s">
        <v>740</v>
      </c>
      <c r="D15" s="347">
        <v>3311314</v>
      </c>
      <c r="E15" s="348">
        <v>7500</v>
      </c>
      <c r="F15" s="349">
        <v>135</v>
      </c>
      <c r="G15" s="350">
        <v>44560</v>
      </c>
      <c r="H15" s="350">
        <v>44564</v>
      </c>
    </row>
    <row r="16" spans="1:8" ht="25.5">
      <c r="A16" s="346" t="s">
        <v>868</v>
      </c>
      <c r="B16" s="247" t="s">
        <v>741</v>
      </c>
      <c r="C16" s="247" t="s">
        <v>742</v>
      </c>
      <c r="D16" s="347">
        <v>3311315</v>
      </c>
      <c r="E16" s="348">
        <v>1200</v>
      </c>
      <c r="F16" s="349">
        <v>17</v>
      </c>
      <c r="G16" s="350">
        <v>44552</v>
      </c>
      <c r="H16" s="350">
        <v>44564</v>
      </c>
    </row>
    <row r="17" spans="1:8">
      <c r="A17" s="346" t="s">
        <v>869</v>
      </c>
      <c r="B17" s="247" t="s">
        <v>743</v>
      </c>
      <c r="C17" s="247" t="s">
        <v>744</v>
      </c>
      <c r="D17" s="347">
        <v>3311317</v>
      </c>
      <c r="E17" s="348">
        <v>256728</v>
      </c>
      <c r="F17" s="349">
        <v>115</v>
      </c>
      <c r="G17" s="350">
        <v>44560</v>
      </c>
      <c r="H17" s="350">
        <v>44567</v>
      </c>
    </row>
    <row r="18" spans="1:8">
      <c r="A18" s="346" t="s">
        <v>870</v>
      </c>
      <c r="B18" s="247" t="s">
        <v>871</v>
      </c>
      <c r="C18" s="247" t="s">
        <v>745</v>
      </c>
      <c r="D18" s="347">
        <v>331132</v>
      </c>
      <c r="E18" s="348">
        <v>36596</v>
      </c>
      <c r="F18" s="349">
        <v>61</v>
      </c>
      <c r="G18" s="350">
        <v>44551</v>
      </c>
      <c r="H18" s="350"/>
    </row>
    <row r="19" spans="1:8">
      <c r="A19" s="346" t="s">
        <v>872</v>
      </c>
      <c r="B19" s="247" t="s">
        <v>873</v>
      </c>
      <c r="C19" s="247" t="s">
        <v>746</v>
      </c>
      <c r="D19" s="347">
        <v>331133</v>
      </c>
      <c r="E19" s="348">
        <v>23970</v>
      </c>
      <c r="F19" s="349">
        <v>111</v>
      </c>
      <c r="G19" s="350">
        <v>44560</v>
      </c>
      <c r="H19" s="350"/>
    </row>
    <row r="20" spans="1:8">
      <c r="A20" s="346" t="s">
        <v>874</v>
      </c>
      <c r="B20" s="247" t="s">
        <v>747</v>
      </c>
      <c r="C20" s="247" t="s">
        <v>748</v>
      </c>
      <c r="D20" s="347">
        <v>3311341</v>
      </c>
      <c r="E20" s="348">
        <v>0</v>
      </c>
      <c r="F20" s="349">
        <v>13</v>
      </c>
      <c r="G20" s="350">
        <v>44551</v>
      </c>
      <c r="H20" s="350"/>
    </row>
    <row r="21" spans="1:8">
      <c r="A21" s="346" t="s">
        <v>875</v>
      </c>
      <c r="B21" s="247" t="s">
        <v>749</v>
      </c>
      <c r="C21" s="247" t="s">
        <v>750</v>
      </c>
      <c r="D21" s="347">
        <v>3311392</v>
      </c>
      <c r="E21" s="348">
        <v>0</v>
      </c>
      <c r="F21" s="349">
        <v>14</v>
      </c>
      <c r="G21" s="350">
        <v>44551</v>
      </c>
      <c r="H21" s="350">
        <v>44575</v>
      </c>
    </row>
    <row r="22" spans="1:8">
      <c r="A22" s="346" t="s">
        <v>876</v>
      </c>
      <c r="B22" s="247" t="s">
        <v>751</v>
      </c>
      <c r="C22" s="247" t="s">
        <v>752</v>
      </c>
      <c r="D22" s="347">
        <v>331163101</v>
      </c>
      <c r="E22" s="348">
        <v>1747781</v>
      </c>
      <c r="F22" s="349">
        <v>12</v>
      </c>
      <c r="G22" s="350">
        <v>44561</v>
      </c>
      <c r="H22" s="350"/>
    </row>
    <row r="23" spans="1:8">
      <c r="A23" s="346" t="s">
        <v>877</v>
      </c>
      <c r="B23" s="247" t="s">
        <v>753</v>
      </c>
      <c r="C23" s="247" t="s">
        <v>754</v>
      </c>
      <c r="D23" s="347" t="s">
        <v>811</v>
      </c>
      <c r="E23" s="351" t="s">
        <v>811</v>
      </c>
      <c r="F23" s="349" t="s">
        <v>811</v>
      </c>
      <c r="G23" s="352" t="s">
        <v>811</v>
      </c>
      <c r="H23" s="352"/>
    </row>
    <row r="24" spans="1:8">
      <c r="A24" s="346" t="s">
        <v>878</v>
      </c>
      <c r="B24" s="247" t="s">
        <v>755</v>
      </c>
      <c r="C24" s="247" t="s">
        <v>756</v>
      </c>
      <c r="D24" s="347" t="s">
        <v>811</v>
      </c>
      <c r="E24" s="351" t="s">
        <v>811</v>
      </c>
      <c r="F24" s="349" t="s">
        <v>811</v>
      </c>
      <c r="G24" s="352" t="s">
        <v>811</v>
      </c>
      <c r="H24" s="352"/>
    </row>
    <row r="25" spans="1:8">
      <c r="A25" s="346" t="s">
        <v>879</v>
      </c>
      <c r="B25" s="247" t="s">
        <v>880</v>
      </c>
      <c r="C25" s="247" t="s">
        <v>757</v>
      </c>
      <c r="D25" s="347">
        <v>3311399</v>
      </c>
      <c r="E25" s="353">
        <v>0</v>
      </c>
      <c r="F25" s="349">
        <v>7</v>
      </c>
      <c r="G25" s="350">
        <v>44407</v>
      </c>
      <c r="H25" s="350"/>
    </row>
    <row r="26" spans="1:8">
      <c r="A26" s="346" t="s">
        <v>881</v>
      </c>
      <c r="B26" s="247" t="s">
        <v>758</v>
      </c>
      <c r="C26" s="247" t="s">
        <v>759</v>
      </c>
      <c r="D26" s="347" t="s">
        <v>811</v>
      </c>
      <c r="E26" s="354" t="s">
        <v>811</v>
      </c>
      <c r="F26" s="349" t="s">
        <v>811</v>
      </c>
      <c r="G26" s="352" t="s">
        <v>811</v>
      </c>
      <c r="H26" s="352"/>
    </row>
    <row r="27" spans="1:8">
      <c r="A27" s="346" t="s">
        <v>882</v>
      </c>
      <c r="B27" s="247" t="s">
        <v>883</v>
      </c>
      <c r="C27" s="248" t="s">
        <v>760</v>
      </c>
      <c r="D27" s="347">
        <v>3311346</v>
      </c>
      <c r="E27" s="348">
        <v>0</v>
      </c>
      <c r="F27" s="349">
        <v>13</v>
      </c>
      <c r="G27" s="350">
        <v>44477</v>
      </c>
      <c r="H27" s="350"/>
    </row>
    <row r="28" spans="1:8">
      <c r="A28" s="346" t="s">
        <v>884</v>
      </c>
      <c r="B28" s="247" t="s">
        <v>885</v>
      </c>
      <c r="C28" s="248" t="s">
        <v>761</v>
      </c>
      <c r="D28" s="347"/>
      <c r="E28" s="348">
        <v>8000</v>
      </c>
      <c r="F28" s="349">
        <v>1</v>
      </c>
      <c r="G28" s="350">
        <v>44453</v>
      </c>
      <c r="H28" s="350"/>
    </row>
    <row r="29" spans="1:8">
      <c r="A29" s="346" t="s">
        <v>886</v>
      </c>
      <c r="B29" s="247" t="s">
        <v>762</v>
      </c>
      <c r="C29" s="248" t="s">
        <v>763</v>
      </c>
      <c r="D29" s="347">
        <v>331129903</v>
      </c>
      <c r="E29" s="348">
        <v>1026997</v>
      </c>
      <c r="F29" s="349">
        <v>4</v>
      </c>
      <c r="G29" s="350">
        <v>44452</v>
      </c>
      <c r="H29" s="350"/>
    </row>
    <row r="30" spans="1:8">
      <c r="A30" s="346" t="s">
        <v>887</v>
      </c>
      <c r="B30" s="247" t="s">
        <v>764</v>
      </c>
      <c r="C30" s="248" t="s">
        <v>765</v>
      </c>
      <c r="D30" s="347" t="s">
        <v>811</v>
      </c>
      <c r="E30" s="351" t="s">
        <v>811</v>
      </c>
      <c r="F30" s="349" t="s">
        <v>811</v>
      </c>
      <c r="G30" s="352" t="s">
        <v>811</v>
      </c>
      <c r="H30" s="352"/>
    </row>
    <row r="31" spans="1:8">
      <c r="A31" s="346" t="s">
        <v>888</v>
      </c>
      <c r="B31" s="247" t="s">
        <v>766</v>
      </c>
      <c r="C31" s="248" t="s">
        <v>767</v>
      </c>
      <c r="D31" s="347" t="s">
        <v>811</v>
      </c>
      <c r="E31" s="348">
        <v>0</v>
      </c>
      <c r="F31" s="349" t="s">
        <v>811</v>
      </c>
      <c r="G31" s="352" t="s">
        <v>811</v>
      </c>
      <c r="H31" s="352"/>
    </row>
    <row r="32" spans="1:8">
      <c r="A32" s="346" t="s">
        <v>889</v>
      </c>
      <c r="B32" s="247" t="s">
        <v>768</v>
      </c>
      <c r="C32" s="248" t="s">
        <v>769</v>
      </c>
      <c r="D32" s="347">
        <v>331213302</v>
      </c>
      <c r="E32" s="348">
        <v>29427561</v>
      </c>
      <c r="F32" s="349"/>
      <c r="G32" s="352"/>
      <c r="H32" s="352"/>
    </row>
    <row r="33" spans="1:8">
      <c r="A33" s="346" t="s">
        <v>890</v>
      </c>
      <c r="B33" s="247" t="s">
        <v>770</v>
      </c>
      <c r="C33" s="257" t="s">
        <v>771</v>
      </c>
      <c r="D33" s="355">
        <v>331213303</v>
      </c>
      <c r="E33" s="348">
        <v>401732</v>
      </c>
      <c r="F33" s="349"/>
      <c r="G33" s="352"/>
      <c r="H33" s="352"/>
    </row>
    <row r="34" spans="1:8">
      <c r="A34" s="346" t="s">
        <v>891</v>
      </c>
      <c r="B34" s="247" t="s">
        <v>892</v>
      </c>
      <c r="C34" s="248" t="s">
        <v>772</v>
      </c>
      <c r="D34" s="355">
        <v>331213304</v>
      </c>
      <c r="E34" s="348">
        <v>146932484</v>
      </c>
      <c r="F34" s="349">
        <v>7</v>
      </c>
      <c r="G34" s="350">
        <v>44470</v>
      </c>
      <c r="H34" s="350"/>
    </row>
    <row r="35" spans="1:8">
      <c r="A35" s="346" t="s">
        <v>893</v>
      </c>
      <c r="B35" s="247" t="s">
        <v>773</v>
      </c>
      <c r="C35" s="248" t="s">
        <v>774</v>
      </c>
      <c r="D35" s="1238">
        <v>3121</v>
      </c>
      <c r="E35" s="1241">
        <v>10077700</v>
      </c>
      <c r="F35" s="1244">
        <v>169</v>
      </c>
      <c r="G35" s="1247">
        <v>44495</v>
      </c>
      <c r="H35" s="1234" t="s">
        <v>894</v>
      </c>
    </row>
    <row r="36" spans="1:8">
      <c r="A36" s="346" t="s">
        <v>895</v>
      </c>
      <c r="B36" s="247" t="s">
        <v>773</v>
      </c>
      <c r="C36" s="248" t="s">
        <v>775</v>
      </c>
      <c r="D36" s="1239"/>
      <c r="E36" s="1242"/>
      <c r="F36" s="1245"/>
      <c r="G36" s="1248"/>
      <c r="H36" s="1235"/>
    </row>
    <row r="37" spans="1:8">
      <c r="A37" s="346" t="s">
        <v>896</v>
      </c>
      <c r="B37" s="247" t="s">
        <v>773</v>
      </c>
      <c r="C37" s="248" t="s">
        <v>776</v>
      </c>
      <c r="D37" s="1239"/>
      <c r="E37" s="1242"/>
      <c r="F37" s="1245"/>
      <c r="G37" s="1248"/>
      <c r="H37" s="1235"/>
    </row>
    <row r="38" spans="1:8">
      <c r="A38" s="346" t="s">
        <v>897</v>
      </c>
      <c r="B38" s="247" t="s">
        <v>773</v>
      </c>
      <c r="C38" s="248" t="s">
        <v>777</v>
      </c>
      <c r="D38" s="1239"/>
      <c r="E38" s="1242"/>
      <c r="F38" s="1245"/>
      <c r="G38" s="1248"/>
      <c r="H38" s="1235"/>
    </row>
    <row r="39" spans="1:8">
      <c r="A39" s="346" t="s">
        <v>898</v>
      </c>
      <c r="B39" s="247" t="s">
        <v>773</v>
      </c>
      <c r="C39" s="248" t="s">
        <v>778</v>
      </c>
      <c r="D39" s="1239"/>
      <c r="E39" s="1242"/>
      <c r="F39" s="1245"/>
      <c r="G39" s="1248"/>
      <c r="H39" s="1235"/>
    </row>
    <row r="40" spans="1:8">
      <c r="A40" s="346" t="s">
        <v>899</v>
      </c>
      <c r="B40" s="247" t="s">
        <v>779</v>
      </c>
      <c r="C40" s="248" t="s">
        <v>780</v>
      </c>
      <c r="D40" s="1240"/>
      <c r="E40" s="1243"/>
      <c r="F40" s="1246"/>
      <c r="G40" s="1249"/>
      <c r="H40" s="1236"/>
    </row>
    <row r="41" spans="1:8" ht="16.5" thickBot="1">
      <c r="A41" s="356" t="s">
        <v>900</v>
      </c>
      <c r="B41" s="258" t="s">
        <v>901</v>
      </c>
      <c r="C41" s="357" t="s">
        <v>781</v>
      </c>
      <c r="D41" s="358">
        <v>33111201</v>
      </c>
      <c r="E41" s="359">
        <v>3470</v>
      </c>
      <c r="F41" s="360">
        <v>170</v>
      </c>
      <c r="G41" s="361">
        <v>44561</v>
      </c>
      <c r="H41" s="361">
        <v>44564</v>
      </c>
    </row>
    <row r="42" spans="1:8">
      <c r="E42" s="332">
        <f>SUM(E5:E41)-E7</f>
        <v>286233503</v>
      </c>
    </row>
    <row r="43" spans="1:8">
      <c r="E43" s="330"/>
    </row>
  </sheetData>
  <mergeCells count="6">
    <mergeCell ref="H35:H40"/>
    <mergeCell ref="A2:G2"/>
    <mergeCell ref="D35:D40"/>
    <mergeCell ref="E35:E40"/>
    <mergeCell ref="F35:F40"/>
    <mergeCell ref="G35:G40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O43"/>
  <sheetViews>
    <sheetView topLeftCell="D10" workbookViewId="0">
      <selection activeCell="K37" sqref="K37"/>
    </sheetView>
  </sheetViews>
  <sheetFormatPr defaultColWidth="8.7109375" defaultRowHeight="15"/>
  <cols>
    <col min="1" max="1" width="32.42578125" style="256" customWidth="1"/>
    <col min="2" max="2" width="32.42578125" style="364" customWidth="1"/>
    <col min="3" max="3" width="30.5703125" style="319" customWidth="1"/>
    <col min="4" max="7" width="21.5703125" style="319" customWidth="1"/>
    <col min="8" max="8" width="22" style="319" customWidth="1"/>
    <col min="9" max="13" width="26.140625" style="319" customWidth="1"/>
    <col min="14" max="14" width="21.5703125" style="256" customWidth="1"/>
    <col min="15" max="15" width="25" style="256" customWidth="1"/>
    <col min="16" max="16" width="21.5703125" style="256" customWidth="1"/>
    <col min="17" max="17" width="19.7109375" style="256" customWidth="1"/>
    <col min="18" max="18" width="18.7109375" style="256" customWidth="1"/>
    <col min="19" max="16384" width="8.7109375" style="256"/>
  </cols>
  <sheetData>
    <row r="1" spans="1:15">
      <c r="A1" s="256" t="s">
        <v>444</v>
      </c>
    </row>
    <row r="2" spans="1:15">
      <c r="A2" s="1250" t="s">
        <v>683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</row>
    <row r="4" spans="1:15" s="362" customFormat="1" ht="30" customHeight="1">
      <c r="A4" s="1253" t="s">
        <v>675</v>
      </c>
      <c r="B4" s="1253"/>
      <c r="C4" s="1266" t="s">
        <v>677</v>
      </c>
      <c r="D4" s="1266" t="s">
        <v>678</v>
      </c>
      <c r="E4" s="1266" t="s">
        <v>320</v>
      </c>
      <c r="F4" s="1251" t="s">
        <v>679</v>
      </c>
      <c r="G4" s="1251" t="s">
        <v>680</v>
      </c>
      <c r="H4" s="1251" t="s">
        <v>321</v>
      </c>
      <c r="I4" s="1251" t="s">
        <v>322</v>
      </c>
      <c r="J4" s="1251" t="s">
        <v>684</v>
      </c>
      <c r="K4" s="1251" t="s">
        <v>685</v>
      </c>
      <c r="L4" s="1251" t="s">
        <v>687</v>
      </c>
      <c r="M4" s="1251" t="s">
        <v>686</v>
      </c>
      <c r="N4" s="1253" t="s">
        <v>4</v>
      </c>
    </row>
    <row r="5" spans="1:15" s="362" customFormat="1" ht="15.75" thickBot="1">
      <c r="A5" s="1254"/>
      <c r="B5" s="1254"/>
      <c r="C5" s="1267"/>
      <c r="D5" s="1267"/>
      <c r="E5" s="1267"/>
      <c r="F5" s="1252"/>
      <c r="G5" s="1252"/>
      <c r="H5" s="1252"/>
      <c r="I5" s="1252"/>
      <c r="J5" s="1261"/>
      <c r="K5" s="1261"/>
      <c r="L5" s="1261"/>
      <c r="M5" s="1261"/>
      <c r="N5" s="1254"/>
    </row>
    <row r="6" spans="1:15">
      <c r="A6" s="1255" t="s">
        <v>671</v>
      </c>
      <c r="B6" s="365" t="s">
        <v>160</v>
      </c>
      <c r="C6" s="366">
        <f>'Általános kiadások'!C18</f>
        <v>16197389</v>
      </c>
      <c r="D6" s="366">
        <f>'Általános kiadások'!C19</f>
        <v>2024377.8</v>
      </c>
      <c r="E6" s="366">
        <f>'Általános kiadások'!C65</f>
        <v>13953205</v>
      </c>
      <c r="F6" s="366"/>
      <c r="G6" s="366"/>
      <c r="H6" s="366"/>
      <c r="I6" s="366"/>
      <c r="J6" s="367"/>
      <c r="K6" s="367"/>
      <c r="L6" s="367"/>
      <c r="M6" s="367"/>
      <c r="N6" s="368">
        <f t="shared" ref="N6:N35" si="0">SUM(C6:I6)</f>
        <v>32174971.800000001</v>
      </c>
    </row>
    <row r="7" spans="1:15">
      <c r="A7" s="1256"/>
      <c r="B7" s="369" t="s">
        <v>648</v>
      </c>
      <c r="C7" s="283">
        <f>'Általános kiadások'!D18</f>
        <v>16197389</v>
      </c>
      <c r="D7" s="283">
        <f>'Általános kiadások'!D19</f>
        <v>2024377.8</v>
      </c>
      <c r="E7" s="283">
        <f>'Általános kiadások'!D65</f>
        <v>13953205</v>
      </c>
      <c r="F7" s="283"/>
      <c r="G7" s="283"/>
      <c r="H7" s="283"/>
      <c r="I7" s="283"/>
      <c r="J7" s="370"/>
      <c r="K7" s="370"/>
      <c r="L7" s="370"/>
      <c r="M7" s="370"/>
      <c r="N7" s="371">
        <f t="shared" si="0"/>
        <v>32174971.800000001</v>
      </c>
      <c r="O7" s="319"/>
    </row>
    <row r="8" spans="1:15" ht="15.75" thickBot="1">
      <c r="A8" s="1257"/>
      <c r="B8" s="372" t="s">
        <v>642</v>
      </c>
      <c r="C8" s="373">
        <f>'Általános kiadások'!E18</f>
        <v>6066443</v>
      </c>
      <c r="D8" s="373">
        <f>'Általános kiadások'!E19</f>
        <v>827961</v>
      </c>
      <c r="E8" s="373">
        <f>'Általános kiadások'!E65</f>
        <v>3871683</v>
      </c>
      <c r="F8" s="373"/>
      <c r="G8" s="373"/>
      <c r="H8" s="373"/>
      <c r="I8" s="373"/>
      <c r="J8" s="374"/>
      <c r="K8" s="374"/>
      <c r="L8" s="374"/>
      <c r="M8" s="374"/>
      <c r="N8" s="375">
        <f t="shared" si="0"/>
        <v>10766087</v>
      </c>
    </row>
    <row r="9" spans="1:15">
      <c r="A9" s="1255" t="s">
        <v>681</v>
      </c>
      <c r="B9" s="365" t="s">
        <v>160</v>
      </c>
      <c r="C9" s="366">
        <f>'Település üzemeltetés'!AA8</f>
        <v>4070000</v>
      </c>
      <c r="D9" s="366">
        <f>'Település üzemeltetés'!AA9</f>
        <v>529100</v>
      </c>
      <c r="E9" s="366">
        <f>'Település üzemeltetés'!AA58</f>
        <v>17735350</v>
      </c>
      <c r="F9" s="366"/>
      <c r="G9" s="366"/>
      <c r="H9" s="366"/>
      <c r="I9" s="366"/>
      <c r="J9" s="367"/>
      <c r="K9" s="367"/>
      <c r="L9" s="367"/>
      <c r="M9" s="367"/>
      <c r="N9" s="368">
        <f t="shared" si="0"/>
        <v>22334450</v>
      </c>
    </row>
    <row r="10" spans="1:15">
      <c r="A10" s="1256"/>
      <c r="B10" s="369" t="s">
        <v>648</v>
      </c>
      <c r="C10" s="283">
        <f>'Település üzemeltetés'!AB8</f>
        <v>4070000</v>
      </c>
      <c r="D10" s="283">
        <f>'Település üzemeltetés'!AB9</f>
        <v>529100</v>
      </c>
      <c r="E10" s="283">
        <f>'Település üzemeltetés'!AB58</f>
        <v>17735350</v>
      </c>
      <c r="F10" s="283"/>
      <c r="G10" s="283"/>
      <c r="H10" s="283"/>
      <c r="I10" s="283"/>
      <c r="J10" s="370"/>
      <c r="K10" s="370"/>
      <c r="L10" s="370"/>
      <c r="M10" s="370"/>
      <c r="N10" s="371">
        <f t="shared" si="0"/>
        <v>22334450</v>
      </c>
      <c r="O10" s="319"/>
    </row>
    <row r="11" spans="1:15" ht="15.75" thickBot="1">
      <c r="A11" s="1257"/>
      <c r="B11" s="372" t="s">
        <v>642</v>
      </c>
      <c r="C11" s="373">
        <f>'Település üzemeltetés'!AC8</f>
        <v>1665543</v>
      </c>
      <c r="D11" s="373">
        <f>'Település üzemeltetés'!AC9</f>
        <v>266222</v>
      </c>
      <c r="E11" s="373">
        <f>'Település üzemeltetés'!AC58</f>
        <v>3870569</v>
      </c>
      <c r="F11" s="373"/>
      <c r="G11" s="373"/>
      <c r="H11" s="373"/>
      <c r="I11" s="373"/>
      <c r="J11" s="374"/>
      <c r="K11" s="374"/>
      <c r="L11" s="374"/>
      <c r="M11" s="374"/>
      <c r="N11" s="375">
        <f t="shared" si="0"/>
        <v>5802334</v>
      </c>
    </row>
    <row r="12" spans="1:15">
      <c r="A12" s="1255" t="s">
        <v>693</v>
      </c>
      <c r="B12" s="365" t="s">
        <v>160</v>
      </c>
      <c r="C12" s="366">
        <v>0</v>
      </c>
      <c r="D12" s="366">
        <v>0</v>
      </c>
      <c r="E12" s="366">
        <f>'Étkeztetési feladatok'!L69</f>
        <v>26155650</v>
      </c>
      <c r="F12" s="366"/>
      <c r="G12" s="366"/>
      <c r="H12" s="366"/>
      <c r="I12" s="366"/>
      <c r="J12" s="367"/>
      <c r="K12" s="367"/>
      <c r="L12" s="367"/>
      <c r="M12" s="367"/>
      <c r="N12" s="368">
        <f t="shared" si="0"/>
        <v>26155650</v>
      </c>
    </row>
    <row r="13" spans="1:15">
      <c r="A13" s="1256"/>
      <c r="B13" s="369" t="s">
        <v>648</v>
      </c>
      <c r="C13" s="283">
        <v>0</v>
      </c>
      <c r="D13" s="283">
        <v>0</v>
      </c>
      <c r="E13" s="283">
        <f>'Étkeztetési feladatok'!M69</f>
        <v>26755650</v>
      </c>
      <c r="F13" s="283"/>
      <c r="G13" s="283"/>
      <c r="H13" s="283"/>
      <c r="I13" s="283"/>
      <c r="J13" s="370"/>
      <c r="K13" s="370"/>
      <c r="L13" s="370"/>
      <c r="M13" s="370"/>
      <c r="N13" s="371">
        <f t="shared" si="0"/>
        <v>26755650</v>
      </c>
      <c r="O13" s="319"/>
    </row>
    <row r="14" spans="1:15" ht="15.75" thickBot="1">
      <c r="A14" s="1257"/>
      <c r="B14" s="372" t="s">
        <v>642</v>
      </c>
      <c r="C14" s="373">
        <v>0</v>
      </c>
      <c r="D14" s="373">
        <v>0</v>
      </c>
      <c r="E14" s="373">
        <f>'Étkeztetési feladatok'!N69</f>
        <v>11984220</v>
      </c>
      <c r="F14" s="373"/>
      <c r="G14" s="373"/>
      <c r="H14" s="373"/>
      <c r="I14" s="373"/>
      <c r="J14" s="374"/>
      <c r="K14" s="374"/>
      <c r="L14" s="374"/>
      <c r="M14" s="374"/>
      <c r="N14" s="375">
        <f t="shared" si="0"/>
        <v>11984220</v>
      </c>
    </row>
    <row r="15" spans="1:15">
      <c r="A15" s="1255" t="s">
        <v>672</v>
      </c>
      <c r="B15" s="365" t="s">
        <v>160</v>
      </c>
      <c r="C15" s="366">
        <f>'Egészségügyi feladatok'!O8+'Egészségügyi feladatok'!O9+'Egészségügyi feladatok'!O10+'Egészségügyi feladatok'!O11+'Egészségügyi feladatok'!O12</f>
        <v>9097974</v>
      </c>
      <c r="D15" s="366">
        <f>'Egészségügyi feladatok'!O13</f>
        <v>1170704</v>
      </c>
      <c r="E15" s="366">
        <f>'Egészségügyi feladatok'!O66</f>
        <v>4752063</v>
      </c>
      <c r="F15" s="366"/>
      <c r="G15" s="366"/>
      <c r="H15" s="366"/>
      <c r="I15" s="366"/>
      <c r="J15" s="367"/>
      <c r="K15" s="367"/>
      <c r="L15" s="367"/>
      <c r="M15" s="367"/>
      <c r="N15" s="368">
        <f t="shared" si="0"/>
        <v>15020741</v>
      </c>
    </row>
    <row r="16" spans="1:15">
      <c r="A16" s="1256"/>
      <c r="B16" s="369" t="s">
        <v>648</v>
      </c>
      <c r="C16" s="283">
        <f>'Egészségügyi feladatok'!P8+'Egészségügyi feladatok'!P9+'Egészségügyi feladatok'!P10+'Egészségügyi feladatok'!P11+'Egészségügyi feladatok'!P12</f>
        <v>9453274</v>
      </c>
      <c r="D16" s="283">
        <f>'Egészségügyi feladatok'!P13</f>
        <v>1170704</v>
      </c>
      <c r="E16" s="283">
        <f>'Egészségügyi feladatok'!P66</f>
        <v>4752063</v>
      </c>
      <c r="F16" s="283"/>
      <c r="G16" s="283"/>
      <c r="H16" s="283"/>
      <c r="I16" s="283"/>
      <c r="J16" s="370"/>
      <c r="K16" s="370"/>
      <c r="L16" s="370"/>
      <c r="M16" s="370"/>
      <c r="N16" s="371">
        <f t="shared" si="0"/>
        <v>15376041</v>
      </c>
      <c r="O16" s="319"/>
    </row>
    <row r="17" spans="1:15" ht="15.75" thickBot="1">
      <c r="A17" s="1257"/>
      <c r="B17" s="372" t="s">
        <v>642</v>
      </c>
      <c r="C17" s="373">
        <f>'Egészségügyi feladatok'!Q8+'Egészségügyi feladatok'!Q9+'Egészségügyi feladatok'!Q10+'Egészségügyi feladatok'!Q11+'Egészségügyi feladatok'!Q12</f>
        <v>3642386</v>
      </c>
      <c r="D17" s="373">
        <f>'Egészségügyi feladatok'!Q13</f>
        <v>506079</v>
      </c>
      <c r="E17" s="373">
        <f>'Egészségügyi feladatok'!Q66</f>
        <v>1196212</v>
      </c>
      <c r="F17" s="373"/>
      <c r="G17" s="373"/>
      <c r="H17" s="373"/>
      <c r="I17" s="373"/>
      <c r="J17" s="374"/>
      <c r="K17" s="374"/>
      <c r="L17" s="374"/>
      <c r="M17" s="374"/>
      <c r="N17" s="375">
        <f t="shared" si="0"/>
        <v>5344677</v>
      </c>
    </row>
    <row r="18" spans="1:15">
      <c r="A18" s="1255" t="s">
        <v>673</v>
      </c>
      <c r="B18" s="365" t="s">
        <v>160</v>
      </c>
      <c r="C18" s="366"/>
      <c r="D18" s="366"/>
      <c r="E18" s="366">
        <f>'Kulturális szolgáltatás'!L65</f>
        <v>10887260</v>
      </c>
      <c r="F18" s="366"/>
      <c r="G18" s="366"/>
      <c r="H18" s="366"/>
      <c r="I18" s="366"/>
      <c r="J18" s="367"/>
      <c r="K18" s="367"/>
      <c r="L18" s="367"/>
      <c r="M18" s="367"/>
      <c r="N18" s="368">
        <f t="shared" si="0"/>
        <v>10887260</v>
      </c>
    </row>
    <row r="19" spans="1:15">
      <c r="A19" s="1256"/>
      <c r="B19" s="369" t="s">
        <v>648</v>
      </c>
      <c r="C19" s="283"/>
      <c r="D19" s="283"/>
      <c r="E19" s="283">
        <f>'Kulturális szolgáltatás'!M65</f>
        <v>10887260</v>
      </c>
      <c r="F19" s="283"/>
      <c r="G19" s="283"/>
      <c r="H19" s="283"/>
      <c r="I19" s="283"/>
      <c r="J19" s="370"/>
      <c r="K19" s="370"/>
      <c r="L19" s="370"/>
      <c r="M19" s="370"/>
      <c r="N19" s="371">
        <f t="shared" si="0"/>
        <v>10887260</v>
      </c>
      <c r="O19" s="319"/>
    </row>
    <row r="20" spans="1:15" ht="15.75" thickBot="1">
      <c r="A20" s="1257"/>
      <c r="B20" s="372" t="s">
        <v>642</v>
      </c>
      <c r="C20" s="373"/>
      <c r="D20" s="373"/>
      <c r="E20" s="373">
        <f>'Kulturális szolgáltatás'!N65</f>
        <v>3038849</v>
      </c>
      <c r="F20" s="373"/>
      <c r="G20" s="373"/>
      <c r="H20" s="373"/>
      <c r="I20" s="373"/>
      <c r="J20" s="374"/>
      <c r="K20" s="374"/>
      <c r="L20" s="374"/>
      <c r="M20" s="374"/>
      <c r="N20" s="375">
        <f t="shared" si="0"/>
        <v>3038849</v>
      </c>
      <c r="O20" s="319"/>
    </row>
    <row r="21" spans="1:15">
      <c r="A21" s="1255" t="s">
        <v>682</v>
      </c>
      <c r="B21" s="365" t="s">
        <v>160</v>
      </c>
      <c r="C21" s="366">
        <f>Közfoglalkoztatás!C11</f>
        <v>719833</v>
      </c>
      <c r="D21" s="366">
        <f>Közfoglalkoztatás!C14</f>
        <v>47484</v>
      </c>
      <c r="E21" s="366">
        <f>Közfoglalkoztatás!C15</f>
        <v>0</v>
      </c>
      <c r="F21" s="366"/>
      <c r="G21" s="366"/>
      <c r="H21" s="366"/>
      <c r="I21" s="366"/>
      <c r="J21" s="367"/>
      <c r="K21" s="367"/>
      <c r="L21" s="367"/>
      <c r="M21" s="367"/>
      <c r="N21" s="368">
        <f t="shared" si="0"/>
        <v>767317</v>
      </c>
    </row>
    <row r="22" spans="1:15">
      <c r="A22" s="1256"/>
      <c r="B22" s="369" t="s">
        <v>648</v>
      </c>
      <c r="C22" s="283">
        <f>Közfoglalkoztatás!D11</f>
        <v>719833</v>
      </c>
      <c r="D22" s="283">
        <f>Közfoglalkoztatás!D14</f>
        <v>47484</v>
      </c>
      <c r="E22" s="283">
        <f>Közfoglalkoztatás!D15</f>
        <v>0</v>
      </c>
      <c r="F22" s="283"/>
      <c r="G22" s="283"/>
      <c r="H22" s="283"/>
      <c r="I22" s="283"/>
      <c r="J22" s="370"/>
      <c r="K22" s="370"/>
      <c r="L22" s="370"/>
      <c r="M22" s="370"/>
      <c r="N22" s="371">
        <f t="shared" si="0"/>
        <v>767317</v>
      </c>
    </row>
    <row r="23" spans="1:15" ht="15.75" thickBot="1">
      <c r="A23" s="1257"/>
      <c r="B23" s="372" t="s">
        <v>642</v>
      </c>
      <c r="C23" s="373">
        <f>Közfoglalkoztatás!E11</f>
        <v>1247113</v>
      </c>
      <c r="D23" s="373">
        <f>Közfoglalkoztatás!E14</f>
        <v>83972</v>
      </c>
      <c r="E23" s="373">
        <f>Közfoglalkoztatás!E15</f>
        <v>0</v>
      </c>
      <c r="F23" s="373"/>
      <c r="G23" s="373"/>
      <c r="H23" s="373"/>
      <c r="I23" s="373"/>
      <c r="J23" s="374"/>
      <c r="K23" s="374"/>
      <c r="L23" s="374"/>
      <c r="M23" s="374"/>
      <c r="N23" s="375">
        <f t="shared" si="0"/>
        <v>1331085</v>
      </c>
    </row>
    <row r="24" spans="1:15">
      <c r="A24" s="1255" t="s">
        <v>674</v>
      </c>
      <c r="B24" s="365" t="s">
        <v>160</v>
      </c>
      <c r="C24" s="366"/>
      <c r="D24" s="366"/>
      <c r="E24" s="366"/>
      <c r="F24" s="366">
        <f>'Önkormányzat Települési támogat'!D25</f>
        <v>9490000</v>
      </c>
      <c r="G24" s="366"/>
      <c r="H24" s="366"/>
      <c r="I24" s="366"/>
      <c r="J24" s="367"/>
      <c r="K24" s="367"/>
      <c r="L24" s="367"/>
      <c r="M24" s="367"/>
      <c r="N24" s="368">
        <f t="shared" si="0"/>
        <v>9490000</v>
      </c>
    </row>
    <row r="25" spans="1:15">
      <c r="A25" s="1256"/>
      <c r="B25" s="369" t="s">
        <v>648</v>
      </c>
      <c r="C25" s="283"/>
      <c r="D25" s="283"/>
      <c r="E25" s="283"/>
      <c r="F25" s="283">
        <f>'Önkormányzat Települési támogat'!E25</f>
        <v>9490000</v>
      </c>
      <c r="G25" s="283"/>
      <c r="H25" s="283"/>
      <c r="I25" s="283"/>
      <c r="J25" s="370"/>
      <c r="K25" s="370"/>
      <c r="L25" s="370"/>
      <c r="M25" s="370"/>
      <c r="N25" s="371">
        <f t="shared" si="0"/>
        <v>9490000</v>
      </c>
    </row>
    <row r="26" spans="1:15" ht="15.75" thickBot="1">
      <c r="A26" s="1257"/>
      <c r="B26" s="372" t="s">
        <v>642</v>
      </c>
      <c r="C26" s="373"/>
      <c r="D26" s="373"/>
      <c r="E26" s="373"/>
      <c r="F26" s="373">
        <f>'Önkormányzat Települési támogat'!F25</f>
        <v>1373200</v>
      </c>
      <c r="G26" s="373"/>
      <c r="H26" s="373"/>
      <c r="I26" s="373"/>
      <c r="J26" s="374"/>
      <c r="K26" s="374"/>
      <c r="L26" s="374"/>
      <c r="M26" s="374"/>
      <c r="N26" s="375">
        <f t="shared" si="0"/>
        <v>1373200</v>
      </c>
    </row>
    <row r="27" spans="1:15">
      <c r="A27" s="1255" t="s">
        <v>676</v>
      </c>
      <c r="B27" s="365" t="s">
        <v>160</v>
      </c>
      <c r="C27" s="366"/>
      <c r="D27" s="366"/>
      <c r="E27" s="366"/>
      <c r="F27" s="366"/>
      <c r="G27" s="366">
        <f>'Önkormányzat Átadott pénzeszköz'!D36</f>
        <v>20335000</v>
      </c>
      <c r="H27" s="366"/>
      <c r="I27" s="366"/>
      <c r="J27" s="367"/>
      <c r="K27" s="367"/>
      <c r="L27" s="367"/>
      <c r="M27" s="367"/>
      <c r="N27" s="368">
        <f t="shared" si="0"/>
        <v>20335000</v>
      </c>
    </row>
    <row r="28" spans="1:15">
      <c r="A28" s="1256"/>
      <c r="B28" s="369" t="s">
        <v>648</v>
      </c>
      <c r="C28" s="283"/>
      <c r="D28" s="283"/>
      <c r="E28" s="283"/>
      <c r="F28" s="283"/>
      <c r="G28" s="283">
        <f>'Önkormányzat Átadott pénzeszköz'!E36</f>
        <v>26777575</v>
      </c>
      <c r="H28" s="283"/>
      <c r="I28" s="283"/>
      <c r="J28" s="370"/>
      <c r="K28" s="370"/>
      <c r="L28" s="370"/>
      <c r="M28" s="370"/>
      <c r="N28" s="371">
        <f t="shared" si="0"/>
        <v>26777575</v>
      </c>
    </row>
    <row r="29" spans="1:15" ht="15.75" thickBot="1">
      <c r="A29" s="1257"/>
      <c r="B29" s="372" t="s">
        <v>642</v>
      </c>
      <c r="C29" s="373"/>
      <c r="D29" s="373"/>
      <c r="E29" s="373"/>
      <c r="F29" s="373"/>
      <c r="G29" s="373">
        <f>'Önkormányzat Átadott pénzeszköz'!F36</f>
        <v>15802975</v>
      </c>
      <c r="H29" s="373"/>
      <c r="I29" s="373"/>
      <c r="J29" s="374"/>
      <c r="K29" s="374"/>
      <c r="L29" s="374"/>
      <c r="M29" s="374"/>
      <c r="N29" s="375">
        <f t="shared" si="0"/>
        <v>15802975</v>
      </c>
    </row>
    <row r="30" spans="1:15">
      <c r="A30" s="1255" t="s">
        <v>127</v>
      </c>
      <c r="B30" s="365" t="s">
        <v>160</v>
      </c>
      <c r="C30" s="366"/>
      <c r="D30" s="366"/>
      <c r="E30" s="366"/>
      <c r="F30" s="366"/>
      <c r="G30" s="366"/>
      <c r="H30" s="366">
        <f>'Önkormányzat Beruházás'!B36</f>
        <v>206674193</v>
      </c>
      <c r="I30" s="366"/>
      <c r="J30" s="367"/>
      <c r="K30" s="367"/>
      <c r="L30" s="367"/>
      <c r="M30" s="367"/>
      <c r="N30" s="368">
        <f t="shared" si="0"/>
        <v>206674193</v>
      </c>
    </row>
    <row r="31" spans="1:15">
      <c r="A31" s="1256"/>
      <c r="B31" s="369" t="s">
        <v>648</v>
      </c>
      <c r="C31" s="283"/>
      <c r="D31" s="283"/>
      <c r="E31" s="283"/>
      <c r="F31" s="283"/>
      <c r="G31" s="283"/>
      <c r="H31" s="283">
        <f>'Önkormányzat Beruházás'!C36</f>
        <v>184639944</v>
      </c>
      <c r="I31" s="283"/>
      <c r="J31" s="370"/>
      <c r="K31" s="370"/>
      <c r="L31" s="370"/>
      <c r="M31" s="370"/>
      <c r="N31" s="371">
        <f t="shared" si="0"/>
        <v>184639944</v>
      </c>
    </row>
    <row r="32" spans="1:15" ht="15.75" thickBot="1">
      <c r="A32" s="1257"/>
      <c r="B32" s="372" t="s">
        <v>642</v>
      </c>
      <c r="C32" s="373"/>
      <c r="D32" s="373"/>
      <c r="E32" s="373"/>
      <c r="F32" s="373"/>
      <c r="G32" s="373"/>
      <c r="H32" s="373">
        <f>'Önkormányzat Beruházás'!D36</f>
        <v>5080</v>
      </c>
      <c r="I32" s="373"/>
      <c r="J32" s="374"/>
      <c r="K32" s="374"/>
      <c r="L32" s="374"/>
      <c r="M32" s="374"/>
      <c r="N32" s="375">
        <f t="shared" si="0"/>
        <v>5080</v>
      </c>
    </row>
    <row r="33" spans="1:15">
      <c r="A33" s="1255" t="s">
        <v>670</v>
      </c>
      <c r="B33" s="365" t="s">
        <v>160</v>
      </c>
      <c r="C33" s="366"/>
      <c r="D33" s="366"/>
      <c r="E33" s="366"/>
      <c r="F33" s="366"/>
      <c r="G33" s="366"/>
      <c r="H33" s="366"/>
      <c r="I33" s="366">
        <f>'Önkormányzat Beruházás'!B68</f>
        <v>66696590</v>
      </c>
      <c r="J33" s="367"/>
      <c r="K33" s="367"/>
      <c r="L33" s="367"/>
      <c r="M33" s="367"/>
      <c r="N33" s="368">
        <f t="shared" si="0"/>
        <v>66696590</v>
      </c>
    </row>
    <row r="34" spans="1:15">
      <c r="A34" s="1256"/>
      <c r="B34" s="369" t="s">
        <v>648</v>
      </c>
      <c r="C34" s="283"/>
      <c r="D34" s="283"/>
      <c r="E34" s="283"/>
      <c r="F34" s="283"/>
      <c r="G34" s="283"/>
      <c r="H34" s="283"/>
      <c r="I34" s="283">
        <f>'Önkormányzat Beruházás'!C68</f>
        <v>59196590</v>
      </c>
      <c r="J34" s="370"/>
      <c r="K34" s="370"/>
      <c r="L34" s="370"/>
      <c r="M34" s="370"/>
      <c r="N34" s="371">
        <f t="shared" si="0"/>
        <v>59196590</v>
      </c>
    </row>
    <row r="35" spans="1:15" ht="15.75" thickBot="1">
      <c r="A35" s="1265"/>
      <c r="B35" s="376" t="s">
        <v>642</v>
      </c>
      <c r="C35" s="377"/>
      <c r="D35" s="377"/>
      <c r="E35" s="377"/>
      <c r="F35" s="377"/>
      <c r="G35" s="377"/>
      <c r="H35" s="377"/>
      <c r="I35" s="377">
        <f>'Önkormányzat Beruházás'!D68</f>
        <v>5034322</v>
      </c>
      <c r="J35" s="378"/>
      <c r="K35" s="378"/>
      <c r="L35" s="378"/>
      <c r="M35" s="378"/>
      <c r="N35" s="379">
        <f t="shared" si="0"/>
        <v>5034322</v>
      </c>
    </row>
    <row r="36" spans="1:15">
      <c r="A36" s="1262" t="s">
        <v>688</v>
      </c>
      <c r="B36" s="365" t="s">
        <v>160</v>
      </c>
      <c r="C36" s="366"/>
      <c r="D36" s="366"/>
      <c r="E36" s="366"/>
      <c r="F36" s="366"/>
      <c r="G36" s="366"/>
      <c r="H36" s="366"/>
      <c r="I36" s="366"/>
      <c r="J36" s="366"/>
      <c r="K36" s="1155">
        <v>11679263</v>
      </c>
      <c r="L36" s="366">
        <v>4500000</v>
      </c>
      <c r="M36" s="366">
        <f>'Intézményi összesen'!M18</f>
        <v>119411303.64</v>
      </c>
      <c r="N36" s="379">
        <f>SUM(C36:M36)</f>
        <v>135590566.63999999</v>
      </c>
    </row>
    <row r="37" spans="1:15">
      <c r="A37" s="1263"/>
      <c r="B37" s="369" t="s">
        <v>648</v>
      </c>
      <c r="C37" s="283"/>
      <c r="D37" s="283"/>
      <c r="E37" s="283"/>
      <c r="F37" s="283"/>
      <c r="G37" s="283"/>
      <c r="H37" s="283"/>
      <c r="I37" s="283"/>
      <c r="J37" s="283"/>
      <c r="K37" s="283">
        <v>11679263</v>
      </c>
      <c r="L37" s="283">
        <v>5985404</v>
      </c>
      <c r="M37" s="283">
        <f>'Intézményi összesen'!N18</f>
        <v>119411303.64</v>
      </c>
      <c r="N37" s="379">
        <f t="shared" ref="N37:N38" si="1">SUM(C37:M37)</f>
        <v>137075970.63999999</v>
      </c>
    </row>
    <row r="38" spans="1:15" ht="15.75" thickBot="1">
      <c r="A38" s="1264"/>
      <c r="B38" s="372" t="s">
        <v>642</v>
      </c>
      <c r="C38" s="373"/>
      <c r="D38" s="373"/>
      <c r="E38" s="373">
        <f>E39-E40</f>
        <v>-600000</v>
      </c>
      <c r="F38" s="373"/>
      <c r="G38" s="373"/>
      <c r="H38" s="373"/>
      <c r="I38" s="373"/>
      <c r="J38" s="373"/>
      <c r="K38" s="373"/>
      <c r="L38" s="373"/>
      <c r="M38" s="373">
        <f>'Intézményi összesen'!O18</f>
        <v>22669775</v>
      </c>
      <c r="N38" s="379">
        <f t="shared" si="1"/>
        <v>22069775</v>
      </c>
    </row>
    <row r="39" spans="1:15">
      <c r="A39" s="1258" t="s">
        <v>4</v>
      </c>
      <c r="B39" s="380" t="s">
        <v>160</v>
      </c>
      <c r="C39" s="381">
        <f>SUM(C33,C30,C27,C24,C21,C18,C15,C12,C9,C6,C36)</f>
        <v>30085196</v>
      </c>
      <c r="D39" s="381">
        <f t="shared" ref="D39:N39" si="2">SUM(D33,D30,D27,D24,D21,D18,D15,D12,D9,D6,D36)</f>
        <v>3771665.8</v>
      </c>
      <c r="E39" s="381">
        <f>SUM(E33,E30,E27,E24,E21,E18,E15,E12,E9,E6,E36)</f>
        <v>73483528</v>
      </c>
      <c r="F39" s="381">
        <f t="shared" si="2"/>
        <v>9490000</v>
      </c>
      <c r="G39" s="381">
        <f t="shared" si="2"/>
        <v>20335000</v>
      </c>
      <c r="H39" s="381">
        <f t="shared" si="2"/>
        <v>206674193</v>
      </c>
      <c r="I39" s="381">
        <f>SUM(I33,I30,I27,I24,I21,I18,I15,I12,I9,I6,I36)</f>
        <v>66696590</v>
      </c>
      <c r="J39" s="381">
        <f>SUM(J33,J30,J27,J24,J21,J18,J15,J12,J9,J6,J36)</f>
        <v>0</v>
      </c>
      <c r="K39" s="381">
        <f t="shared" si="2"/>
        <v>11679263</v>
      </c>
      <c r="L39" s="381">
        <f t="shared" ref="L39:M39" si="3">SUM(L33,L30,L27,L24,L21,L18,L15,L12,L9,L6,L36)</f>
        <v>4500000</v>
      </c>
      <c r="M39" s="381">
        <f t="shared" si="3"/>
        <v>119411303.64</v>
      </c>
      <c r="N39" s="381">
        <f t="shared" si="2"/>
        <v>546126739.44000006</v>
      </c>
    </row>
    <row r="40" spans="1:15">
      <c r="A40" s="1259"/>
      <c r="B40" s="234" t="s">
        <v>648</v>
      </c>
      <c r="C40" s="381">
        <f>SUM(C34,C31,C28,C25,C22,C19,C16,C13,C10,C7,C37)</f>
        <v>30440496</v>
      </c>
      <c r="D40" s="381">
        <f t="shared" ref="C40:N41" si="4">SUM(D34,D31,D28,D25,D22,D19,D16,D13,D10,D7,D37)</f>
        <v>3771665.8</v>
      </c>
      <c r="E40" s="381">
        <f t="shared" si="4"/>
        <v>74083528</v>
      </c>
      <c r="F40" s="381">
        <f t="shared" si="4"/>
        <v>9490000</v>
      </c>
      <c r="G40" s="381">
        <f t="shared" si="4"/>
        <v>26777575</v>
      </c>
      <c r="H40" s="381">
        <f>SUM(H34,H31,H28,H25,H22,H19,H16,H13,H10,H7,H37)</f>
        <v>184639944</v>
      </c>
      <c r="I40" s="381">
        <f t="shared" si="4"/>
        <v>59196590</v>
      </c>
      <c r="J40" s="381">
        <f t="shared" ref="J40" si="5">SUM(J34,J31,J28,J25,J22,J19,J16,J13,J10,J7,J37)</f>
        <v>0</v>
      </c>
      <c r="K40" s="381">
        <f t="shared" si="4"/>
        <v>11679263</v>
      </c>
      <c r="L40" s="381">
        <f t="shared" ref="L40:M40" si="6">SUM(L34,L31,L28,L25,L22,L19,L16,L13,L10,L7,L37)</f>
        <v>5985404</v>
      </c>
      <c r="M40" s="381">
        <f t="shared" si="6"/>
        <v>119411303.64</v>
      </c>
      <c r="N40" s="381">
        <f t="shared" si="4"/>
        <v>525475769.44</v>
      </c>
      <c r="O40" s="319"/>
    </row>
    <row r="41" spans="1:15">
      <c r="A41" s="1259"/>
      <c r="B41" s="234" t="s">
        <v>642</v>
      </c>
      <c r="C41" s="381">
        <f>SUM(C35,C32,C29,C26,C23,C20,C17,C14,C11,C8,C38)</f>
        <v>12621485</v>
      </c>
      <c r="D41" s="381">
        <f t="shared" si="4"/>
        <v>1684234</v>
      </c>
      <c r="E41" s="1154">
        <f>SUM(E35,E32,E29,E26,E23,E20,E17,E14,E11,E8,E38)</f>
        <v>23361533</v>
      </c>
      <c r="F41" s="381">
        <f t="shared" si="4"/>
        <v>1373200</v>
      </c>
      <c r="G41" s="381">
        <f>SUM(G35,G32,G29,G26,G23,G20,G17,G14,G11,G8,G38)</f>
        <v>15802975</v>
      </c>
      <c r="H41" s="381">
        <f t="shared" si="4"/>
        <v>5080</v>
      </c>
      <c r="I41" s="381">
        <f t="shared" si="4"/>
        <v>5034322</v>
      </c>
      <c r="J41" s="381">
        <f t="shared" ref="J41" si="7">SUM(J35,J32,J29,J26,J23,J20,J17,J14,J11,J8,J38)</f>
        <v>0</v>
      </c>
      <c r="K41" s="381">
        <f t="shared" si="4"/>
        <v>0</v>
      </c>
      <c r="L41" s="381">
        <f t="shared" ref="L41:M41" si="8">SUM(L35,L32,L29,L26,L23,L20,L17,L14,L11,L8,L38)</f>
        <v>0</v>
      </c>
      <c r="M41" s="381">
        <f t="shared" si="8"/>
        <v>22669775</v>
      </c>
      <c r="N41" s="381">
        <f t="shared" si="4"/>
        <v>82552604</v>
      </c>
    </row>
    <row r="42" spans="1:15">
      <c r="A42" s="1259"/>
      <c r="B42" s="234" t="s">
        <v>637</v>
      </c>
      <c r="C42" s="329">
        <f>C41/C40</f>
        <v>0.4146280993581708</v>
      </c>
      <c r="D42" s="329">
        <f t="shared" ref="D42:N42" si="9">D41/D40</f>
        <v>0.44654910835419198</v>
      </c>
      <c r="E42" s="329">
        <f t="shared" si="9"/>
        <v>0.31534044922914578</v>
      </c>
      <c r="F42" s="329">
        <f t="shared" si="9"/>
        <v>0.14469968387776608</v>
      </c>
      <c r="G42" s="329">
        <f t="shared" si="9"/>
        <v>0.59015706239269239</v>
      </c>
      <c r="H42" s="329">
        <f t="shared" si="9"/>
        <v>2.7513006611397152E-5</v>
      </c>
      <c r="I42" s="329">
        <f t="shared" si="9"/>
        <v>8.5044121629303304E-2</v>
      </c>
      <c r="J42" s="329" t="e">
        <f t="shared" si="9"/>
        <v>#DIV/0!</v>
      </c>
      <c r="K42" s="329">
        <f t="shared" si="9"/>
        <v>0</v>
      </c>
      <c r="L42" s="329">
        <f t="shared" si="9"/>
        <v>0</v>
      </c>
      <c r="M42" s="382">
        <f>M41/M40</f>
        <v>0.18984613942700609</v>
      </c>
      <c r="N42" s="383">
        <f t="shared" si="9"/>
        <v>0.1571006862751757</v>
      </c>
    </row>
    <row r="43" spans="1:15" ht="15.75" thickBot="1">
      <c r="A43" s="1260"/>
      <c r="B43" s="235" t="s">
        <v>665</v>
      </c>
      <c r="C43" s="384">
        <f>C40-C41</f>
        <v>17819011</v>
      </c>
      <c r="D43" s="384">
        <f t="shared" ref="D43:N43" si="10">D40-D41</f>
        <v>2087431.7999999998</v>
      </c>
      <c r="E43" s="384">
        <f t="shared" si="10"/>
        <v>50721995</v>
      </c>
      <c r="F43" s="384">
        <f t="shared" si="10"/>
        <v>8116800</v>
      </c>
      <c r="G43" s="384">
        <f t="shared" si="10"/>
        <v>10974600</v>
      </c>
      <c r="H43" s="384">
        <f t="shared" si="10"/>
        <v>184634864</v>
      </c>
      <c r="I43" s="384">
        <f t="shared" si="10"/>
        <v>54162268</v>
      </c>
      <c r="J43" s="384">
        <f t="shared" si="10"/>
        <v>0</v>
      </c>
      <c r="K43" s="384">
        <f t="shared" si="10"/>
        <v>11679263</v>
      </c>
      <c r="L43" s="384">
        <f t="shared" si="10"/>
        <v>5985404</v>
      </c>
      <c r="M43" s="385">
        <f>M40-M41</f>
        <v>96741528.640000001</v>
      </c>
      <c r="N43" s="375">
        <f t="shared" si="10"/>
        <v>442923165.44</v>
      </c>
    </row>
  </sheetData>
  <mergeCells count="26">
    <mergeCell ref="A39:A43"/>
    <mergeCell ref="K4:K5"/>
    <mergeCell ref="M4:M5"/>
    <mergeCell ref="A36:A38"/>
    <mergeCell ref="J4:J5"/>
    <mergeCell ref="L4:L5"/>
    <mergeCell ref="A30:A32"/>
    <mergeCell ref="A33:A35"/>
    <mergeCell ref="C4:C5"/>
    <mergeCell ref="D4:D5"/>
    <mergeCell ref="E4:E5"/>
    <mergeCell ref="A12:A14"/>
    <mergeCell ref="A15:A17"/>
    <mergeCell ref="A18:A20"/>
    <mergeCell ref="A21:A23"/>
    <mergeCell ref="A24:A26"/>
    <mergeCell ref="A27:A29"/>
    <mergeCell ref="A6:A8"/>
    <mergeCell ref="A4:B5"/>
    <mergeCell ref="A9:A11"/>
    <mergeCell ref="F4:F5"/>
    <mergeCell ref="A2:N2"/>
    <mergeCell ref="G4:G5"/>
    <mergeCell ref="H4:H5"/>
    <mergeCell ref="I4:I5"/>
    <mergeCell ref="N4:N5"/>
  </mergeCells>
  <pageMargins left="0.25" right="0.25" top="0.75" bottom="0.75" header="0.3" footer="0.3"/>
  <pageSetup paperSize="8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7030A0"/>
    <pageSetUpPr fitToPage="1"/>
  </sheetPr>
  <dimension ref="A1:L68"/>
  <sheetViews>
    <sheetView view="pageBreakPreview" topLeftCell="A51" zoomScaleNormal="100" zoomScaleSheetLayoutView="100" workbookViewId="0">
      <selection activeCell="E66" sqref="E66"/>
    </sheetView>
  </sheetViews>
  <sheetFormatPr defaultColWidth="8.7109375" defaultRowHeight="15.75"/>
  <cols>
    <col min="1" max="1" width="28.5703125" style="535" customWidth="1"/>
    <col min="2" max="2" width="14.28515625" style="535" bestFit="1" customWidth="1"/>
    <col min="3" max="3" width="21.140625" style="729" customWidth="1"/>
    <col min="4" max="4" width="20.42578125" style="729" customWidth="1"/>
    <col min="5" max="5" width="17.85546875" style="332" customWidth="1"/>
    <col min="6" max="6" width="17" style="730" bestFit="1" customWidth="1"/>
    <col min="7" max="7" width="19.5703125" style="400" customWidth="1"/>
    <col min="8" max="10" width="8.7109375" style="400"/>
    <col min="11" max="11" width="9.42578125" style="400" bestFit="1" customWidth="1"/>
    <col min="12" max="12" width="11" style="400" bestFit="1" customWidth="1"/>
    <col min="13" max="16384" width="8.7109375" style="400"/>
  </cols>
  <sheetData>
    <row r="1" spans="1:7">
      <c r="A1" s="1268" t="s">
        <v>444</v>
      </c>
      <c r="B1" s="1268"/>
      <c r="C1" s="1268"/>
      <c r="D1" s="713"/>
    </row>
    <row r="2" spans="1:7" ht="42" customHeight="1">
      <c r="A2" s="1270" t="s">
        <v>967</v>
      </c>
      <c r="B2" s="1270"/>
      <c r="C2" s="1270"/>
      <c r="D2" s="1270"/>
      <c r="E2" s="1270"/>
      <c r="F2" s="1270"/>
    </row>
    <row r="3" spans="1:7" ht="16.5" thickBot="1">
      <c r="A3" s="714"/>
      <c r="B3" s="714"/>
      <c r="C3" s="715"/>
      <c r="D3" s="715"/>
    </row>
    <row r="4" spans="1:7" ht="31.5">
      <c r="A4" s="716" t="s">
        <v>2</v>
      </c>
      <c r="B4" s="717" t="s">
        <v>3</v>
      </c>
      <c r="C4" s="718" t="s">
        <v>228</v>
      </c>
      <c r="D4" s="719" t="s">
        <v>648</v>
      </c>
      <c r="E4" s="731" t="s">
        <v>951</v>
      </c>
      <c r="F4" s="753" t="s">
        <v>637</v>
      </c>
    </row>
    <row r="5" spans="1:7" ht="31.5">
      <c r="A5" s="720" t="s">
        <v>5</v>
      </c>
      <c r="B5" s="472" t="s">
        <v>6</v>
      </c>
      <c r="C5" s="732"/>
      <c r="D5" s="732"/>
      <c r="E5" s="733"/>
      <c r="F5" s="683"/>
    </row>
    <row r="6" spans="1:7" ht="47.25">
      <c r="A6" s="720" t="s">
        <v>233</v>
      </c>
      <c r="B6" s="472" t="s">
        <v>12</v>
      </c>
      <c r="C6" s="732"/>
      <c r="D6" s="732"/>
      <c r="E6" s="733"/>
      <c r="F6" s="683"/>
    </row>
    <row r="7" spans="1:7">
      <c r="A7" s="720" t="s">
        <v>13</v>
      </c>
      <c r="B7" s="472" t="s">
        <v>14</v>
      </c>
      <c r="C7" s="732"/>
      <c r="D7" s="732"/>
      <c r="E7" s="733"/>
      <c r="F7" s="683"/>
    </row>
    <row r="8" spans="1:7">
      <c r="A8" s="720" t="s">
        <v>15</v>
      </c>
      <c r="B8" s="472" t="s">
        <v>16</v>
      </c>
      <c r="C8" s="732"/>
      <c r="D8" s="732"/>
      <c r="E8" s="733"/>
      <c r="F8" s="683"/>
    </row>
    <row r="9" spans="1:7">
      <c r="A9" s="720" t="s">
        <v>234</v>
      </c>
      <c r="B9" s="472" t="s">
        <v>18</v>
      </c>
      <c r="C9" s="732">
        <v>400000</v>
      </c>
      <c r="D9" s="732">
        <f>C9</f>
        <v>400000</v>
      </c>
      <c r="E9" s="733"/>
      <c r="F9" s="683">
        <f>E9/D9</f>
        <v>0</v>
      </c>
      <c r="G9" s="721">
        <f>D9-E9</f>
        <v>400000</v>
      </c>
    </row>
    <row r="10" spans="1:7" hidden="1">
      <c r="A10" s="720" t="s">
        <v>235</v>
      </c>
      <c r="B10" s="472" t="s">
        <v>22</v>
      </c>
      <c r="C10" s="732"/>
      <c r="D10" s="732">
        <f t="shared" ref="D10:D66" si="0">C10</f>
        <v>0</v>
      </c>
      <c r="E10" s="733"/>
      <c r="F10" s="683" t="e">
        <f t="shared" ref="F10:F66" si="1">E10/D10</f>
        <v>#DIV/0!</v>
      </c>
      <c r="G10" s="721">
        <f t="shared" ref="G10:G68" si="2">D10-E10</f>
        <v>0</v>
      </c>
    </row>
    <row r="11" spans="1:7">
      <c r="A11" s="720" t="s">
        <v>236</v>
      </c>
      <c r="B11" s="472" t="s">
        <v>24</v>
      </c>
      <c r="C11" s="732">
        <v>12000</v>
      </c>
      <c r="D11" s="732">
        <f t="shared" si="0"/>
        <v>12000</v>
      </c>
      <c r="E11" s="733"/>
      <c r="F11" s="683">
        <f t="shared" si="1"/>
        <v>0</v>
      </c>
      <c r="G11" s="721">
        <f t="shared" si="2"/>
        <v>12000</v>
      </c>
    </row>
    <row r="12" spans="1:7" ht="31.5" hidden="1">
      <c r="A12" s="720" t="s">
        <v>237</v>
      </c>
      <c r="B12" s="472" t="s">
        <v>30</v>
      </c>
      <c r="C12" s="732"/>
      <c r="D12" s="732">
        <f t="shared" si="0"/>
        <v>0</v>
      </c>
      <c r="E12" s="733"/>
      <c r="F12" s="683" t="e">
        <f t="shared" si="1"/>
        <v>#DIV/0!</v>
      </c>
      <c r="G12" s="721">
        <f t="shared" si="2"/>
        <v>0</v>
      </c>
    </row>
    <row r="13" spans="1:7" ht="31.5">
      <c r="A13" s="722" t="s">
        <v>238</v>
      </c>
      <c r="B13" s="549" t="s">
        <v>32</v>
      </c>
      <c r="C13" s="734">
        <f>SUM(C5:C12)</f>
        <v>412000</v>
      </c>
      <c r="D13" s="734">
        <f t="shared" si="0"/>
        <v>412000</v>
      </c>
      <c r="E13" s="735">
        <f>SUM(E5:E12)</f>
        <v>0</v>
      </c>
      <c r="F13" s="683">
        <f t="shared" si="1"/>
        <v>0</v>
      </c>
      <c r="G13" s="721">
        <f t="shared" si="2"/>
        <v>412000</v>
      </c>
    </row>
    <row r="14" spans="1:7" ht="31.5">
      <c r="A14" s="720" t="s">
        <v>239</v>
      </c>
      <c r="B14" s="472" t="s">
        <v>33</v>
      </c>
      <c r="C14" s="732">
        <f>12057709+(42000*12*3)+(12*157080)+(27560*12)</f>
        <v>15785389</v>
      </c>
      <c r="D14" s="736">
        <f t="shared" si="0"/>
        <v>15785389</v>
      </c>
      <c r="E14" s="737">
        <v>6066443</v>
      </c>
      <c r="F14" s="683">
        <f t="shared" si="1"/>
        <v>0.38430747572961299</v>
      </c>
      <c r="G14" s="721">
        <f>D14-E14</f>
        <v>9718946</v>
      </c>
    </row>
    <row r="15" spans="1:7" ht="63.75" customHeight="1">
      <c r="A15" s="720" t="s">
        <v>240</v>
      </c>
      <c r="B15" s="472" t="s">
        <v>34</v>
      </c>
      <c r="C15" s="732"/>
      <c r="D15" s="732">
        <f t="shared" si="0"/>
        <v>0</v>
      </c>
      <c r="E15" s="733"/>
      <c r="F15" s="683"/>
      <c r="G15" s="721">
        <f t="shared" si="2"/>
        <v>0</v>
      </c>
    </row>
    <row r="16" spans="1:7">
      <c r="A16" s="720" t="s">
        <v>399</v>
      </c>
      <c r="B16" s="472" t="s">
        <v>35</v>
      </c>
      <c r="C16" s="732"/>
      <c r="D16" s="732">
        <f t="shared" si="0"/>
        <v>0</v>
      </c>
      <c r="E16" s="733"/>
      <c r="F16" s="683"/>
      <c r="G16" s="721">
        <f t="shared" si="2"/>
        <v>0</v>
      </c>
    </row>
    <row r="17" spans="1:7">
      <c r="A17" s="722" t="s">
        <v>242</v>
      </c>
      <c r="B17" s="549" t="s">
        <v>37</v>
      </c>
      <c r="C17" s="734">
        <f>SUM(C14:C15)</f>
        <v>15785389</v>
      </c>
      <c r="D17" s="734">
        <f t="shared" si="0"/>
        <v>15785389</v>
      </c>
      <c r="E17" s="735">
        <f>SUM(E14:E16)</f>
        <v>6066443</v>
      </c>
      <c r="F17" s="683">
        <f t="shared" si="1"/>
        <v>0.38430747572961299</v>
      </c>
      <c r="G17" s="721">
        <f t="shared" si="2"/>
        <v>9718946</v>
      </c>
    </row>
    <row r="18" spans="1:7">
      <c r="A18" s="722" t="s">
        <v>243</v>
      </c>
      <c r="B18" s="549" t="s">
        <v>39</v>
      </c>
      <c r="C18" s="734">
        <f>C17+C13</f>
        <v>16197389</v>
      </c>
      <c r="D18" s="732">
        <f t="shared" si="0"/>
        <v>16197389</v>
      </c>
      <c r="E18" s="735">
        <f>E17+E13</f>
        <v>6066443</v>
      </c>
      <c r="F18" s="683">
        <f t="shared" si="1"/>
        <v>0.37453215453428945</v>
      </c>
      <c r="G18" s="721">
        <f t="shared" si="2"/>
        <v>10130946</v>
      </c>
    </row>
    <row r="19" spans="1:7" ht="48" thickBot="1">
      <c r="A19" s="743" t="s">
        <v>244</v>
      </c>
      <c r="B19" s="744" t="s">
        <v>41</v>
      </c>
      <c r="C19" s="745">
        <f>1582773+(42000*12*3*0.13)+(12*157080*0.13)</f>
        <v>2024377.8</v>
      </c>
      <c r="D19" s="745">
        <f t="shared" si="0"/>
        <v>2024377.8</v>
      </c>
      <c r="E19" s="749">
        <v>827961</v>
      </c>
      <c r="F19" s="750">
        <f t="shared" si="1"/>
        <v>0.40899529722169448</v>
      </c>
      <c r="G19" s="721">
        <f t="shared" si="2"/>
        <v>1196416.8</v>
      </c>
    </row>
    <row r="20" spans="1:7" ht="31.5">
      <c r="A20" s="723" t="s">
        <v>259</v>
      </c>
      <c r="B20" s="681" t="s">
        <v>44</v>
      </c>
      <c r="C20" s="738">
        <f>SUM(C21:C21)</f>
        <v>0</v>
      </c>
      <c r="D20" s="751">
        <f t="shared" si="0"/>
        <v>0</v>
      </c>
      <c r="E20" s="747">
        <f>SUM(E21:E21)</f>
        <v>0</v>
      </c>
      <c r="F20" s="748"/>
      <c r="G20" s="721">
        <f t="shared" si="2"/>
        <v>0</v>
      </c>
    </row>
    <row r="21" spans="1:7">
      <c r="A21" s="724" t="s">
        <v>263</v>
      </c>
      <c r="B21" s="686"/>
      <c r="C21" s="740">
        <v>0</v>
      </c>
      <c r="D21" s="732">
        <f t="shared" si="0"/>
        <v>0</v>
      </c>
      <c r="E21" s="733">
        <v>0</v>
      </c>
      <c r="F21" s="683"/>
      <c r="G21" s="721">
        <f t="shared" si="2"/>
        <v>0</v>
      </c>
    </row>
    <row r="22" spans="1:7" ht="31.5">
      <c r="A22" s="723" t="s">
        <v>264</v>
      </c>
      <c r="B22" s="681" t="s">
        <v>49</v>
      </c>
      <c r="C22" s="738">
        <v>600000</v>
      </c>
      <c r="D22" s="734">
        <f t="shared" si="0"/>
        <v>600000</v>
      </c>
      <c r="E22" s="739">
        <v>67375</v>
      </c>
      <c r="F22" s="683">
        <f t="shared" si="1"/>
        <v>0.11229166666666666</v>
      </c>
      <c r="G22" s="721">
        <f t="shared" si="2"/>
        <v>532625</v>
      </c>
    </row>
    <row r="23" spans="1:7">
      <c r="A23" s="723" t="s">
        <v>270</v>
      </c>
      <c r="B23" s="681" t="s">
        <v>271</v>
      </c>
      <c r="C23" s="741">
        <v>0</v>
      </c>
      <c r="D23" s="734">
        <f t="shared" si="0"/>
        <v>0</v>
      </c>
      <c r="E23" s="735">
        <v>0</v>
      </c>
      <c r="F23" s="683"/>
      <c r="G23" s="721">
        <f t="shared" si="2"/>
        <v>0</v>
      </c>
    </row>
    <row r="24" spans="1:7">
      <c r="A24" s="723" t="s">
        <v>272</v>
      </c>
      <c r="B24" s="681" t="s">
        <v>56</v>
      </c>
      <c r="C24" s="738">
        <f>SUM(C22,C20,C23)</f>
        <v>600000</v>
      </c>
      <c r="D24" s="738">
        <f>SUM(D22,D20,D23)</f>
        <v>600000</v>
      </c>
      <c r="E24" s="739">
        <f>SUM(E22,E20,E23)</f>
        <v>67375</v>
      </c>
      <c r="F24" s="746">
        <f t="shared" si="1"/>
        <v>0.11229166666666666</v>
      </c>
      <c r="G24" s="721">
        <f t="shared" si="2"/>
        <v>532625</v>
      </c>
    </row>
    <row r="25" spans="1:7" ht="31.5">
      <c r="A25" s="723" t="s">
        <v>273</v>
      </c>
      <c r="B25" s="681" t="s">
        <v>58</v>
      </c>
      <c r="C25" s="741">
        <f>SUM(C26:C26)</f>
        <v>150000</v>
      </c>
      <c r="D25" s="734">
        <f t="shared" si="0"/>
        <v>150000</v>
      </c>
      <c r="E25" s="735">
        <f>SUM(E26:E27)</f>
        <v>0</v>
      </c>
      <c r="F25" s="683">
        <f t="shared" si="1"/>
        <v>0</v>
      </c>
      <c r="G25" s="721">
        <f t="shared" si="2"/>
        <v>150000</v>
      </c>
    </row>
    <row r="26" spans="1:7" ht="47.25">
      <c r="A26" s="724" t="s">
        <v>504</v>
      </c>
      <c r="B26" s="686"/>
      <c r="C26" s="740">
        <v>150000</v>
      </c>
      <c r="D26" s="732">
        <f t="shared" si="0"/>
        <v>150000</v>
      </c>
      <c r="E26" s="733">
        <v>0</v>
      </c>
      <c r="F26" s="683">
        <f t="shared" si="1"/>
        <v>0</v>
      </c>
      <c r="G26" s="721">
        <f t="shared" si="2"/>
        <v>150000</v>
      </c>
    </row>
    <row r="27" spans="1:7" ht="47.25">
      <c r="A27" s="724" t="s">
        <v>658</v>
      </c>
      <c r="B27" s="686"/>
      <c r="C27" s="740"/>
      <c r="D27" s="732">
        <f t="shared" si="0"/>
        <v>0</v>
      </c>
      <c r="E27" s="733"/>
      <c r="F27" s="683"/>
      <c r="G27" s="721">
        <f t="shared" si="2"/>
        <v>0</v>
      </c>
    </row>
    <row r="28" spans="1:7" ht="31.5">
      <c r="A28" s="723" t="s">
        <v>278</v>
      </c>
      <c r="B28" s="681" t="s">
        <v>60</v>
      </c>
      <c r="C28" s="738">
        <f>SUM(C29:C29)</f>
        <v>0</v>
      </c>
      <c r="D28" s="732">
        <f t="shared" si="0"/>
        <v>0</v>
      </c>
      <c r="E28" s="739">
        <f>SUM(E29:E29)</f>
        <v>0</v>
      </c>
      <c r="F28" s="683"/>
      <c r="G28" s="721">
        <f t="shared" si="2"/>
        <v>0</v>
      </c>
    </row>
    <row r="29" spans="1:7" ht="31.5" hidden="1">
      <c r="A29" s="724" t="s">
        <v>505</v>
      </c>
      <c r="B29" s="686"/>
      <c r="C29" s="740">
        <v>0</v>
      </c>
      <c r="D29" s="732">
        <f t="shared" si="0"/>
        <v>0</v>
      </c>
      <c r="E29" s="733"/>
      <c r="F29" s="683" t="e">
        <f t="shared" si="1"/>
        <v>#DIV/0!</v>
      </c>
      <c r="G29" s="721">
        <f t="shared" si="2"/>
        <v>0</v>
      </c>
    </row>
    <row r="30" spans="1:7" ht="31.5">
      <c r="A30" s="723" t="s">
        <v>62</v>
      </c>
      <c r="B30" s="681" t="s">
        <v>63</v>
      </c>
      <c r="C30" s="738">
        <f>SUM(C25,C28)</f>
        <v>150000</v>
      </c>
      <c r="D30" s="734">
        <f t="shared" si="0"/>
        <v>150000</v>
      </c>
      <c r="E30" s="739">
        <f>SUM(E25,E28)</f>
        <v>0</v>
      </c>
      <c r="F30" s="746">
        <f t="shared" si="1"/>
        <v>0</v>
      </c>
      <c r="G30" s="721">
        <f t="shared" si="2"/>
        <v>150000</v>
      </c>
    </row>
    <row r="31" spans="1:7">
      <c r="A31" s="723" t="s">
        <v>281</v>
      </c>
      <c r="B31" s="681" t="s">
        <v>65</v>
      </c>
      <c r="C31" s="738">
        <v>1010000</v>
      </c>
      <c r="D31" s="732">
        <f t="shared" si="0"/>
        <v>1010000</v>
      </c>
      <c r="E31" s="739">
        <f t="shared" ref="E31" si="3">SUM(E32:E34)</f>
        <v>0</v>
      </c>
      <c r="F31" s="683">
        <f t="shared" si="1"/>
        <v>0</v>
      </c>
      <c r="G31" s="721">
        <f t="shared" si="2"/>
        <v>1010000</v>
      </c>
    </row>
    <row r="32" spans="1:7">
      <c r="A32" s="724" t="s">
        <v>282</v>
      </c>
      <c r="B32" s="686"/>
      <c r="C32" s="740">
        <v>0</v>
      </c>
      <c r="D32" s="732">
        <f t="shared" si="0"/>
        <v>0</v>
      </c>
      <c r="E32" s="733"/>
      <c r="F32" s="683"/>
      <c r="G32" s="721">
        <f t="shared" si="2"/>
        <v>0</v>
      </c>
    </row>
    <row r="33" spans="1:12">
      <c r="A33" s="724" t="s">
        <v>283</v>
      </c>
      <c r="B33" s="686"/>
      <c r="C33" s="740"/>
      <c r="D33" s="732">
        <f t="shared" si="0"/>
        <v>0</v>
      </c>
      <c r="E33" s="733"/>
      <c r="F33" s="683"/>
      <c r="G33" s="721">
        <f t="shared" si="2"/>
        <v>0</v>
      </c>
    </row>
    <row r="34" spans="1:12">
      <c r="A34" s="724" t="s">
        <v>284</v>
      </c>
      <c r="B34" s="686"/>
      <c r="C34" s="740">
        <v>0</v>
      </c>
      <c r="D34" s="732">
        <f t="shared" si="0"/>
        <v>0</v>
      </c>
      <c r="E34" s="733"/>
      <c r="F34" s="683"/>
      <c r="G34" s="721">
        <f t="shared" si="2"/>
        <v>0</v>
      </c>
    </row>
    <row r="35" spans="1:12">
      <c r="A35" s="723" t="s">
        <v>285</v>
      </c>
      <c r="B35" s="681" t="s">
        <v>69</v>
      </c>
      <c r="C35" s="741">
        <v>20000</v>
      </c>
      <c r="D35" s="732">
        <f t="shared" si="0"/>
        <v>20000</v>
      </c>
      <c r="E35" s="733"/>
      <c r="F35" s="683">
        <f t="shared" si="1"/>
        <v>0</v>
      </c>
      <c r="G35" s="721">
        <f t="shared" si="2"/>
        <v>20000</v>
      </c>
    </row>
    <row r="36" spans="1:12">
      <c r="A36" s="723" t="s">
        <v>286</v>
      </c>
      <c r="B36" s="681" t="s">
        <v>72</v>
      </c>
      <c r="C36" s="741"/>
      <c r="D36" s="732">
        <f t="shared" si="0"/>
        <v>0</v>
      </c>
      <c r="E36" s="733"/>
      <c r="F36" s="683"/>
      <c r="G36" s="721">
        <f t="shared" si="2"/>
        <v>0</v>
      </c>
    </row>
    <row r="37" spans="1:12" ht="63">
      <c r="A37" s="723" t="s">
        <v>506</v>
      </c>
      <c r="B37" s="681" t="s">
        <v>73</v>
      </c>
      <c r="C37" s="741">
        <v>500000</v>
      </c>
      <c r="D37" s="734">
        <f t="shared" si="0"/>
        <v>500000</v>
      </c>
      <c r="E37" s="735">
        <v>0</v>
      </c>
      <c r="F37" s="683">
        <f t="shared" si="1"/>
        <v>0</v>
      </c>
      <c r="G37" s="721">
        <f t="shared" si="2"/>
        <v>500000</v>
      </c>
    </row>
    <row r="38" spans="1:12">
      <c r="A38" s="723" t="s">
        <v>74</v>
      </c>
      <c r="B38" s="681" t="s">
        <v>75</v>
      </c>
      <c r="C38" s="741">
        <v>0</v>
      </c>
      <c r="D38" s="734">
        <f t="shared" si="0"/>
        <v>0</v>
      </c>
      <c r="E38" s="735">
        <v>0</v>
      </c>
      <c r="F38" s="683"/>
      <c r="G38" s="721">
        <f t="shared" si="2"/>
        <v>0</v>
      </c>
    </row>
    <row r="39" spans="1:12" ht="31.5">
      <c r="A39" s="723" t="s">
        <v>287</v>
      </c>
      <c r="B39" s="681" t="s">
        <v>77</v>
      </c>
      <c r="C39" s="738">
        <f>SUM(C40:C41)</f>
        <v>6200000</v>
      </c>
      <c r="D39" s="734">
        <f t="shared" si="0"/>
        <v>6200000</v>
      </c>
      <c r="E39" s="739">
        <f>SUM(E40:E41)</f>
        <v>1955000</v>
      </c>
      <c r="F39" s="683">
        <f t="shared" si="1"/>
        <v>0.31532258064516128</v>
      </c>
      <c r="G39" s="721">
        <f t="shared" si="2"/>
        <v>4245000</v>
      </c>
    </row>
    <row r="40" spans="1:12" ht="31.5">
      <c r="A40" s="724" t="s">
        <v>507</v>
      </c>
      <c r="B40" s="686"/>
      <c r="C40" s="740">
        <v>5600000</v>
      </c>
      <c r="D40" s="732">
        <f t="shared" si="0"/>
        <v>5600000</v>
      </c>
      <c r="E40" s="733">
        <v>1705000</v>
      </c>
      <c r="F40" s="683">
        <f t="shared" si="1"/>
        <v>0.30446428571428569</v>
      </c>
      <c r="G40" s="721">
        <f t="shared" si="2"/>
        <v>3895000</v>
      </c>
    </row>
    <row r="41" spans="1:12">
      <c r="A41" s="724" t="s">
        <v>534</v>
      </c>
      <c r="B41" s="686"/>
      <c r="C41" s="740">
        <v>600000</v>
      </c>
      <c r="D41" s="732">
        <f t="shared" si="0"/>
        <v>600000</v>
      </c>
      <c r="E41" s="733">
        <v>250000</v>
      </c>
      <c r="F41" s="683">
        <f t="shared" si="1"/>
        <v>0.41666666666666669</v>
      </c>
      <c r="G41" s="721">
        <f t="shared" si="2"/>
        <v>350000</v>
      </c>
    </row>
    <row r="42" spans="1:12">
      <c r="A42" s="723" t="s">
        <v>289</v>
      </c>
      <c r="B42" s="681" t="s">
        <v>81</v>
      </c>
      <c r="C42" s="738">
        <v>2500000</v>
      </c>
      <c r="D42" s="734">
        <f t="shared" si="0"/>
        <v>2500000</v>
      </c>
      <c r="E42" s="739">
        <f>SUM(E43:E47)</f>
        <v>1503827</v>
      </c>
      <c r="F42" s="683">
        <f t="shared" si="1"/>
        <v>0.60153080000000003</v>
      </c>
      <c r="G42" s="721">
        <f t="shared" si="2"/>
        <v>996173</v>
      </c>
    </row>
    <row r="43" spans="1:12" ht="31.5">
      <c r="A43" s="724" t="s">
        <v>962</v>
      </c>
      <c r="B43" s="725"/>
      <c r="C43" s="740"/>
      <c r="D43" s="732"/>
      <c r="E43" s="733">
        <v>701860</v>
      </c>
      <c r="F43" s="683"/>
      <c r="G43" s="721">
        <f t="shared" si="2"/>
        <v>-701860</v>
      </c>
      <c r="L43" s="752"/>
    </row>
    <row r="44" spans="1:12" ht="31.5">
      <c r="A44" s="724" t="s">
        <v>508</v>
      </c>
      <c r="B44" s="725"/>
      <c r="C44" s="740"/>
      <c r="D44" s="732"/>
      <c r="E44" s="733">
        <v>63000</v>
      </c>
      <c r="F44" s="683"/>
      <c r="G44" s="721">
        <f t="shared" si="2"/>
        <v>-63000</v>
      </c>
    </row>
    <row r="45" spans="1:12" ht="47.25">
      <c r="A45" s="724" t="s">
        <v>963</v>
      </c>
      <c r="B45" s="725"/>
      <c r="C45" s="740"/>
      <c r="D45" s="732"/>
      <c r="E45" s="733">
        <v>175350</v>
      </c>
      <c r="F45" s="683"/>
      <c r="G45" s="721">
        <f t="shared" si="2"/>
        <v>-175350</v>
      </c>
    </row>
    <row r="46" spans="1:12">
      <c r="A46" s="724" t="s">
        <v>289</v>
      </c>
      <c r="B46" s="725"/>
      <c r="C46" s="740"/>
      <c r="D46" s="732"/>
      <c r="E46" s="733">
        <v>218617</v>
      </c>
      <c r="F46" s="683"/>
      <c r="G46" s="721">
        <f t="shared" si="2"/>
        <v>-218617</v>
      </c>
    </row>
    <row r="47" spans="1:12" ht="31.5">
      <c r="A47" s="724" t="s">
        <v>964</v>
      </c>
      <c r="B47" s="725"/>
      <c r="C47" s="740"/>
      <c r="D47" s="732"/>
      <c r="E47" s="733">
        <v>345000</v>
      </c>
      <c r="F47" s="683"/>
      <c r="G47" s="721"/>
    </row>
    <row r="48" spans="1:12">
      <c r="A48" s="723" t="s">
        <v>87</v>
      </c>
      <c r="B48" s="681" t="s">
        <v>88</v>
      </c>
      <c r="C48" s="738">
        <f>SUM(C31,C35:C39,C42)</f>
        <v>10230000</v>
      </c>
      <c r="D48" s="738">
        <f>SUM(D31,D35:D39,D42)</f>
        <v>10230000</v>
      </c>
      <c r="E48" s="739">
        <f>SUM(E31,E35:E39,E42)</f>
        <v>3458827</v>
      </c>
      <c r="F48" s="683">
        <f t="shared" si="1"/>
        <v>0.33810625610948192</v>
      </c>
      <c r="G48" s="721">
        <f t="shared" si="2"/>
        <v>6771173</v>
      </c>
    </row>
    <row r="49" spans="1:7">
      <c r="A49" s="726" t="s">
        <v>296</v>
      </c>
      <c r="B49" s="686" t="s">
        <v>90</v>
      </c>
      <c r="C49" s="740">
        <v>50000</v>
      </c>
      <c r="D49" s="732">
        <f t="shared" si="0"/>
        <v>50000</v>
      </c>
      <c r="E49" s="733"/>
      <c r="F49" s="683">
        <f t="shared" si="1"/>
        <v>0</v>
      </c>
      <c r="G49" s="721">
        <f t="shared" si="2"/>
        <v>50000</v>
      </c>
    </row>
    <row r="50" spans="1:7" ht="31.5">
      <c r="A50" s="726" t="s">
        <v>297</v>
      </c>
      <c r="B50" s="686" t="s">
        <v>92</v>
      </c>
      <c r="C50" s="740">
        <v>20000</v>
      </c>
      <c r="D50" s="732">
        <f t="shared" si="0"/>
        <v>20000</v>
      </c>
      <c r="E50" s="733"/>
      <c r="F50" s="683">
        <f t="shared" si="1"/>
        <v>0</v>
      </c>
      <c r="G50" s="721">
        <f t="shared" si="2"/>
        <v>20000</v>
      </c>
    </row>
    <row r="51" spans="1:7" ht="31.5">
      <c r="A51" s="723" t="s">
        <v>93</v>
      </c>
      <c r="B51" s="681" t="s">
        <v>94</v>
      </c>
      <c r="C51" s="738">
        <f t="shared" ref="C51:E51" si="4">SUM(C49:C50)</f>
        <v>70000</v>
      </c>
      <c r="D51" s="734">
        <f t="shared" si="0"/>
        <v>70000</v>
      </c>
      <c r="E51" s="739">
        <f t="shared" si="4"/>
        <v>0</v>
      </c>
      <c r="F51" s="683">
        <f t="shared" si="1"/>
        <v>0</v>
      </c>
      <c r="G51" s="721">
        <f t="shared" si="2"/>
        <v>70000</v>
      </c>
    </row>
    <row r="52" spans="1:7" ht="47.25">
      <c r="A52" s="723" t="s">
        <v>298</v>
      </c>
      <c r="B52" s="681" t="s">
        <v>96</v>
      </c>
      <c r="C52" s="738">
        <f>SUM(C53:C54)</f>
        <v>477900</v>
      </c>
      <c r="D52" s="732">
        <f t="shared" si="0"/>
        <v>477900</v>
      </c>
      <c r="E52" s="732">
        <f>E54</f>
        <v>214067</v>
      </c>
      <c r="F52" s="683">
        <f t="shared" si="1"/>
        <v>0.44793262188742416</v>
      </c>
      <c r="G52" s="721">
        <f t="shared" si="2"/>
        <v>263833</v>
      </c>
    </row>
    <row r="53" spans="1:7" hidden="1">
      <c r="A53" s="724" t="s">
        <v>299</v>
      </c>
      <c r="B53" s="686"/>
      <c r="C53" s="740"/>
      <c r="D53" s="732">
        <f t="shared" si="0"/>
        <v>0</v>
      </c>
      <c r="E53" s="733"/>
      <c r="F53" s="683" t="e">
        <f t="shared" si="1"/>
        <v>#DIV/0!</v>
      </c>
      <c r="G53" s="721">
        <f t="shared" si="2"/>
        <v>0</v>
      </c>
    </row>
    <row r="54" spans="1:7">
      <c r="A54" s="724" t="s">
        <v>300</v>
      </c>
      <c r="B54" s="686"/>
      <c r="C54" s="740">
        <v>477900</v>
      </c>
      <c r="D54" s="732">
        <f t="shared" si="0"/>
        <v>477900</v>
      </c>
      <c r="E54" s="733">
        <v>214067</v>
      </c>
      <c r="F54" s="683">
        <f t="shared" si="1"/>
        <v>0.44793262188742416</v>
      </c>
      <c r="G54" s="721">
        <f t="shared" si="2"/>
        <v>263833</v>
      </c>
    </row>
    <row r="55" spans="1:7" ht="31.5">
      <c r="A55" s="723" t="s">
        <v>301</v>
      </c>
      <c r="B55" s="681" t="s">
        <v>98</v>
      </c>
      <c r="C55" s="741">
        <v>2000000</v>
      </c>
      <c r="D55" s="732">
        <f t="shared" si="0"/>
        <v>2000000</v>
      </c>
      <c r="E55" s="735"/>
      <c r="F55" s="683">
        <f t="shared" si="1"/>
        <v>0</v>
      </c>
      <c r="G55" s="721">
        <f t="shared" si="2"/>
        <v>2000000</v>
      </c>
    </row>
    <row r="56" spans="1:7">
      <c r="A56" s="723" t="s">
        <v>99</v>
      </c>
      <c r="B56" s="681" t="s">
        <v>100</v>
      </c>
      <c r="C56" s="741">
        <v>0</v>
      </c>
      <c r="D56" s="734">
        <v>96</v>
      </c>
      <c r="E56" s="735">
        <v>96</v>
      </c>
      <c r="F56" s="683">
        <f t="shared" si="1"/>
        <v>1</v>
      </c>
      <c r="G56" s="721">
        <f t="shared" si="2"/>
        <v>0</v>
      </c>
    </row>
    <row r="57" spans="1:7">
      <c r="A57" s="723" t="s">
        <v>302</v>
      </c>
      <c r="B57" s="681" t="s">
        <v>104</v>
      </c>
      <c r="C57" s="738">
        <f>SUM(C58:C62)</f>
        <v>425305</v>
      </c>
      <c r="D57" s="738">
        <f>SUM(D58:D62)</f>
        <v>425209</v>
      </c>
      <c r="E57" s="739">
        <f>SUM(E58:E63)</f>
        <v>131318</v>
      </c>
      <c r="F57" s="683">
        <f t="shared" si="1"/>
        <v>0.3088316569028407</v>
      </c>
      <c r="G57" s="721">
        <f t="shared" si="2"/>
        <v>293891</v>
      </c>
    </row>
    <row r="58" spans="1:7">
      <c r="A58" s="724" t="s">
        <v>509</v>
      </c>
      <c r="B58" s="686"/>
      <c r="C58" s="740">
        <v>52500</v>
      </c>
      <c r="D58" s="732">
        <f t="shared" si="0"/>
        <v>52500</v>
      </c>
      <c r="E58" s="733">
        <v>53350</v>
      </c>
      <c r="F58" s="683">
        <f t="shared" si="1"/>
        <v>1.0161904761904761</v>
      </c>
      <c r="G58" s="721">
        <f t="shared" si="2"/>
        <v>-850</v>
      </c>
    </row>
    <row r="59" spans="1:7" ht="31.5">
      <c r="A59" s="724" t="s">
        <v>965</v>
      </c>
      <c r="B59" s="686"/>
      <c r="C59" s="740">
        <v>29310</v>
      </c>
      <c r="D59" s="732">
        <f t="shared" si="0"/>
        <v>29310</v>
      </c>
      <c r="E59" s="733">
        <v>41700</v>
      </c>
      <c r="F59" s="683">
        <f t="shared" si="1"/>
        <v>1.4227226202661207</v>
      </c>
      <c r="G59" s="721">
        <f t="shared" si="2"/>
        <v>-12390</v>
      </c>
    </row>
    <row r="60" spans="1:7">
      <c r="A60" s="724" t="s">
        <v>510</v>
      </c>
      <c r="B60" s="686"/>
      <c r="C60" s="740">
        <v>123420</v>
      </c>
      <c r="D60" s="732">
        <f t="shared" si="0"/>
        <v>123420</v>
      </c>
      <c r="E60" s="733"/>
      <c r="F60" s="683">
        <f t="shared" si="1"/>
        <v>0</v>
      </c>
      <c r="G60" s="721">
        <f t="shared" si="2"/>
        <v>123420</v>
      </c>
    </row>
    <row r="61" spans="1:7" ht="31.5">
      <c r="A61" s="724" t="s">
        <v>511</v>
      </c>
      <c r="B61" s="686"/>
      <c r="C61" s="740">
        <v>205700</v>
      </c>
      <c r="D61" s="732">
        <f t="shared" si="0"/>
        <v>205700</v>
      </c>
      <c r="E61" s="733"/>
      <c r="F61" s="683">
        <f t="shared" si="1"/>
        <v>0</v>
      </c>
      <c r="G61" s="721">
        <f t="shared" si="2"/>
        <v>205700</v>
      </c>
    </row>
    <row r="62" spans="1:7">
      <c r="A62" s="724" t="s">
        <v>512</v>
      </c>
      <c r="B62" s="686"/>
      <c r="C62" s="740">
        <v>14375</v>
      </c>
      <c r="D62" s="732">
        <f>C62-96</f>
        <v>14279</v>
      </c>
      <c r="E62" s="733"/>
      <c r="F62" s="683">
        <f t="shared" si="1"/>
        <v>0</v>
      </c>
      <c r="G62" s="721">
        <f t="shared" si="2"/>
        <v>14279</v>
      </c>
    </row>
    <row r="63" spans="1:7" ht="31.5">
      <c r="A63" s="724" t="s">
        <v>966</v>
      </c>
      <c r="B63" s="686"/>
      <c r="C63" s="740"/>
      <c r="D63" s="732">
        <f t="shared" si="0"/>
        <v>0</v>
      </c>
      <c r="E63" s="733">
        <v>36268</v>
      </c>
      <c r="F63" s="683"/>
      <c r="G63" s="721"/>
    </row>
    <row r="64" spans="1:7" ht="31.5">
      <c r="A64" s="723" t="s">
        <v>305</v>
      </c>
      <c r="B64" s="681" t="s">
        <v>110</v>
      </c>
      <c r="C64" s="738">
        <f t="shared" ref="C64:D64" si="5">SUM(C57,C52,C55,C56)</f>
        <v>2903205</v>
      </c>
      <c r="D64" s="738">
        <f t="shared" si="5"/>
        <v>2903205</v>
      </c>
      <c r="E64" s="739">
        <f>SUM(E57,E52,E55,E56)</f>
        <v>345481</v>
      </c>
      <c r="F64" s="683">
        <f t="shared" si="1"/>
        <v>0.11899986394346937</v>
      </c>
      <c r="G64" s="721">
        <f t="shared" si="2"/>
        <v>2557724</v>
      </c>
    </row>
    <row r="65" spans="1:7">
      <c r="A65" s="727" t="s">
        <v>306</v>
      </c>
      <c r="B65" s="728" t="s">
        <v>112</v>
      </c>
      <c r="C65" s="742">
        <f>SUM(C64,C51,C48,C30,C24)</f>
        <v>13953205</v>
      </c>
      <c r="D65" s="734">
        <f t="shared" si="0"/>
        <v>13953205</v>
      </c>
      <c r="E65" s="739">
        <f>SUM(E64,E51,E48,E30,E24)</f>
        <v>3871683</v>
      </c>
      <c r="F65" s="683">
        <f t="shared" si="1"/>
        <v>0.27747625008017873</v>
      </c>
      <c r="G65" s="721">
        <f t="shared" si="2"/>
        <v>10081522</v>
      </c>
    </row>
    <row r="66" spans="1:7">
      <c r="A66" s="1269" t="s">
        <v>153</v>
      </c>
      <c r="B66" s="1269"/>
      <c r="C66" s="734">
        <f>SUM(C65,C19,C18)</f>
        <v>32174971.800000001</v>
      </c>
      <c r="D66" s="734">
        <f t="shared" si="0"/>
        <v>32174971.800000001</v>
      </c>
      <c r="E66" s="735">
        <f>SUM(E65,E19,E18)</f>
        <v>10766087</v>
      </c>
      <c r="F66" s="683">
        <f t="shared" si="1"/>
        <v>0.33461061184209023</v>
      </c>
      <c r="G66" s="721">
        <f t="shared" si="2"/>
        <v>21408884.800000001</v>
      </c>
    </row>
    <row r="67" spans="1:7">
      <c r="G67" s="721">
        <f t="shared" si="2"/>
        <v>0</v>
      </c>
    </row>
    <row r="68" spans="1:7">
      <c r="A68" s="535" t="s">
        <v>839</v>
      </c>
      <c r="G68" s="721">
        <f t="shared" si="2"/>
        <v>0</v>
      </c>
    </row>
  </sheetData>
  <mergeCells count="3">
    <mergeCell ref="A1:C1"/>
    <mergeCell ref="A66:B66"/>
    <mergeCell ref="A2:F2"/>
  </mergeCells>
  <pageMargins left="0.25" right="0.25" top="0.75" bottom="0.75" header="0.3" footer="0.3"/>
  <pageSetup paperSize="9" scale="4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27</vt:i4>
      </vt:variant>
      <vt:variant>
        <vt:lpstr>Névvel ellátott tartományok</vt:lpstr>
      </vt:variant>
      <vt:variant>
        <vt:i4>18</vt:i4>
      </vt:variant>
    </vt:vector>
  </HeadingPairs>
  <TitlesOfParts>
    <vt:vector size="45" baseType="lpstr">
      <vt:lpstr>Mérleg szintű össz</vt:lpstr>
      <vt:lpstr>Mérleg szintű ÖK</vt:lpstr>
      <vt:lpstr>Normatíva elszámolás levezetése</vt:lpstr>
      <vt:lpstr>Normatíva2022</vt:lpstr>
      <vt:lpstr>Közhatalmi bevétel</vt:lpstr>
      <vt:lpstr>Saját bevételek</vt:lpstr>
      <vt:lpstr>Záró pénzkészlet</vt:lpstr>
      <vt:lpstr>Kiadások összesen</vt:lpstr>
      <vt:lpstr>Általános kiadások</vt:lpstr>
      <vt:lpstr>Település üzemeltetés</vt:lpstr>
      <vt:lpstr>Étkeztetési feladatok</vt:lpstr>
      <vt:lpstr>Egészségügyi feladatok</vt:lpstr>
      <vt:lpstr>Kulturális szolgáltatás</vt:lpstr>
      <vt:lpstr>Közfoglalkoztatás</vt:lpstr>
      <vt:lpstr>Önkormányzat személyi</vt:lpstr>
      <vt:lpstr>Önkormányzat DOLOGI</vt:lpstr>
      <vt:lpstr>Önkormányzat Települési támogat</vt:lpstr>
      <vt:lpstr>Önkormányzat Átadott pénzeszköz</vt:lpstr>
      <vt:lpstr>Önkormányzat Beruházás</vt:lpstr>
      <vt:lpstr>Intézményi összesen</vt:lpstr>
      <vt:lpstr>Hivatal 2022 évi elemi költésgv</vt:lpstr>
      <vt:lpstr>Óvoda</vt:lpstr>
      <vt:lpstr>Likviditás</vt:lpstr>
      <vt:lpstr>Létszám</vt:lpstr>
      <vt:lpstr>Közvetett támogatás</vt:lpstr>
      <vt:lpstr>Adósságot keletkeztető ügyletek</vt:lpstr>
      <vt:lpstr>Áthúzódó kötváll</vt:lpstr>
      <vt:lpstr>'Általános kiadások'!Nyomtatási_terület</vt:lpstr>
      <vt:lpstr>'Egészségügyi feladatok'!Nyomtatási_terület</vt:lpstr>
      <vt:lpstr>'Étkeztetési feladatok'!Nyomtatási_terület</vt:lpstr>
      <vt:lpstr>'Hivatal 2022 évi elemi költésgv'!Nyomtatási_terület</vt:lpstr>
      <vt:lpstr>'Intézményi összesen'!Nyomtatási_terület</vt:lpstr>
      <vt:lpstr>Közfoglalkoztatás!Nyomtatási_terület</vt:lpstr>
      <vt:lpstr>'Közhatalmi bevétel'!Nyomtatási_terület</vt:lpstr>
      <vt:lpstr>'Kulturális szolgáltatás'!Nyomtatási_terület</vt:lpstr>
      <vt:lpstr>'Mérleg szintű ÖK'!Nyomtatási_terület</vt:lpstr>
      <vt:lpstr>'Mérleg szintű össz'!Nyomtatási_terület</vt:lpstr>
      <vt:lpstr>Normatíva2022!Nyomtatási_terület</vt:lpstr>
      <vt:lpstr>Óvoda!Nyomtatási_terület</vt:lpstr>
      <vt:lpstr>'Önkormányzat Átadott pénzeszköz'!Nyomtatási_terület</vt:lpstr>
      <vt:lpstr>'Önkormányzat Beruházás'!Nyomtatási_terület</vt:lpstr>
      <vt:lpstr>'Önkormányzat Települési támogat'!Nyomtatási_terület</vt:lpstr>
      <vt:lpstr>'Saját bevételek'!Nyomtatási_terület</vt:lpstr>
      <vt:lpstr>'Település üzemeltetés'!Nyomtatási_terület</vt:lpstr>
      <vt:lpstr>'Záró pénzkészlet'!Nyomtatási_terület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Nagyné Bujtor Katalin</dc:creator>
  <cp:lastModifiedBy>Ikó Bettina</cp:lastModifiedBy>
  <cp:lastPrinted>2022-06-24T12:42:58Z</cp:lastPrinted>
  <dcterms:created xsi:type="dcterms:W3CDTF">2018-01-04T12:31:00Z</dcterms:created>
  <dcterms:modified xsi:type="dcterms:W3CDTF">2022-06-24T12:44:45Z</dcterms:modified>
</cp:coreProperties>
</file>